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5" activeTab="0"/>
  </bookViews>
  <sheets>
    <sheet name="Tabelle1" sheetId="1" r:id="rId1"/>
    <sheet name="Riemenliste" sheetId="2" state="hidden" r:id="rId2"/>
    <sheet name="BerZrSchw" sheetId="3" state="hidden" r:id="rId3"/>
    <sheet name="Datensätze" sheetId="4" state="hidden" r:id="rId4"/>
    <sheet name="Defaults" sheetId="5" state="hidden" r:id="rId5"/>
    <sheet name="Beschriftungen" sheetId="6" state="hidden" r:id="rId6"/>
  </sheets>
  <definedNames>
    <definedName name="_xlnm.Print_Area" localSheetId="3">'Datensätze'!$A$1:$S$22</definedName>
  </definedNames>
  <calcPr fullCalcOnLoad="1"/>
</workbook>
</file>

<file path=xl/sharedStrings.xml><?xml version="1.0" encoding="utf-8"?>
<sst xmlns="http://schemas.openxmlformats.org/spreadsheetml/2006/main" count="453" uniqueCount="354">
  <si>
    <t>ComAuswahl</t>
  </si>
  <si>
    <t>Sprache</t>
  </si>
  <si>
    <t xml:space="preserve"> Element</t>
  </si>
  <si>
    <t>Deutsch</t>
  </si>
  <si>
    <t>Englisch</t>
  </si>
  <si>
    <t>btnDateiAbbruch</t>
  </si>
  <si>
    <t>btnDateiExit</t>
  </si>
  <si>
    <t>Programm beenden</t>
  </si>
  <si>
    <t>btnEinstOK</t>
  </si>
  <si>
    <t>OK</t>
  </si>
  <si>
    <t>btnInfoOK</t>
  </si>
  <si>
    <t>btnStartOK</t>
  </si>
  <si>
    <t>btnÜbertragungOK</t>
  </si>
  <si>
    <t>FrameAntriebsdaten</t>
  </si>
  <si>
    <t>FrameAnwendung</t>
  </si>
  <si>
    <t>FrameComAuswahl</t>
  </si>
  <si>
    <t>FrameErgebnis</t>
  </si>
  <si>
    <t>FrameMenu</t>
  </si>
  <si>
    <t>Menü</t>
  </si>
  <si>
    <t>FrameNavigation</t>
  </si>
  <si>
    <t>Navigation</t>
  </si>
  <si>
    <t>FrameRiemenart</t>
  </si>
  <si>
    <t>Riemenart</t>
  </si>
  <si>
    <t>FrameSprache</t>
  </si>
  <si>
    <t>frmInfoTitel</t>
  </si>
  <si>
    <t>Programminfo</t>
  </si>
  <si>
    <t>frmMainTitel</t>
  </si>
  <si>
    <t>frmMnuDateiTitel</t>
  </si>
  <si>
    <t>Datei-Menü</t>
  </si>
  <si>
    <t>frmMnuEinstellungenTitel</t>
  </si>
  <si>
    <t>Einstellungen</t>
  </si>
  <si>
    <t>frmStartTitel</t>
  </si>
  <si>
    <t>Bitte beachten !</t>
  </si>
  <si>
    <t>frmÜbertragungTitel</t>
  </si>
  <si>
    <t>Datenübertragung</t>
  </si>
  <si>
    <t>lblInfo1</t>
  </si>
  <si>
    <t>PC Tool für Trummeter IV</t>
  </si>
  <si>
    <t>lblInfo2</t>
  </si>
  <si>
    <t>lblInfo3</t>
  </si>
  <si>
    <t>lblInfo4</t>
  </si>
  <si>
    <t>lblP0</t>
  </si>
  <si>
    <t xml:space="preserve"> AntriebsID</t>
  </si>
  <si>
    <t>lblP01</t>
  </si>
  <si>
    <t>max. 30 Zeichen</t>
  </si>
  <si>
    <t>lblP10</t>
  </si>
  <si>
    <t xml:space="preserve"> Anzahl der Rippen</t>
  </si>
  <si>
    <t>lblP101</t>
  </si>
  <si>
    <t xml:space="preserve"> (1 - 99)</t>
  </si>
  <si>
    <t>lblP102</t>
  </si>
  <si>
    <t>Rippen</t>
  </si>
  <si>
    <t>lblP11</t>
  </si>
  <si>
    <t xml:space="preserve"> Max. Achslast des kleinen Wälzlagers</t>
  </si>
  <si>
    <t>lblP111</t>
  </si>
  <si>
    <t xml:space="preserve"> (1 - 999)</t>
  </si>
  <si>
    <t>lblP112</t>
  </si>
  <si>
    <t>Newton</t>
  </si>
  <si>
    <t>lblP2</t>
  </si>
  <si>
    <t xml:space="preserve"> Motorleistung [P]</t>
  </si>
  <si>
    <t>lblP21</t>
  </si>
  <si>
    <t xml:space="preserve"> (0,10 - 55 KW)</t>
  </si>
  <si>
    <t>lblP22</t>
  </si>
  <si>
    <t xml:space="preserve"> KW</t>
  </si>
  <si>
    <t>lblP3</t>
  </si>
  <si>
    <t xml:space="preserve"> Achsabstand der Riemenscheiben [L]</t>
  </si>
  <si>
    <t>lblP31</t>
  </si>
  <si>
    <t xml:space="preserve"> (0,01 - 3 m)</t>
  </si>
  <si>
    <t>lblP32</t>
  </si>
  <si>
    <t>m</t>
  </si>
  <si>
    <t>lblP4</t>
  </si>
  <si>
    <t xml:space="preserve"> Drehzahl der kleinen Riemenscheibe [n]</t>
  </si>
  <si>
    <t>lblP41</t>
  </si>
  <si>
    <t xml:space="preserve"> (0,1 - 6000 U/min)</t>
  </si>
  <si>
    <t>lblP42</t>
  </si>
  <si>
    <t>U/min</t>
  </si>
  <si>
    <t>lblP5a</t>
  </si>
  <si>
    <t xml:space="preserve"> Durchmesser der kleinen Riemenscheibe [D]</t>
  </si>
  <si>
    <t>lblP5a1</t>
  </si>
  <si>
    <t xml:space="preserve"> (10 - 500)</t>
  </si>
  <si>
    <t>lblP5a2</t>
  </si>
  <si>
    <t>mm</t>
  </si>
  <si>
    <t>lblP5b</t>
  </si>
  <si>
    <t xml:space="preserve"> Zahnanzahl der kleinen Riemenscheibe [z]</t>
  </si>
  <si>
    <t>lblP5b1</t>
  </si>
  <si>
    <t>lblP5b2</t>
  </si>
  <si>
    <t>Zähne</t>
  </si>
  <si>
    <t>lblP6</t>
  </si>
  <si>
    <t xml:space="preserve"> Riemenbezeichnung / Riemenmasse [Kg/m]</t>
  </si>
  <si>
    <t>lblP62</t>
  </si>
  <si>
    <t>Kg/m</t>
  </si>
  <si>
    <t>lblP7</t>
  </si>
  <si>
    <t xml:space="preserve"> Riementeilung [t]</t>
  </si>
  <si>
    <t>lblP71</t>
  </si>
  <si>
    <t xml:space="preserve"> (2 - 30 mm)</t>
  </si>
  <si>
    <t>lblP72</t>
  </si>
  <si>
    <t>lblP9</t>
  </si>
  <si>
    <t xml:space="preserve"> Keilriemenanzahl pro Antrieb</t>
  </si>
  <si>
    <t>lblP91</t>
  </si>
  <si>
    <t>lblP92</t>
  </si>
  <si>
    <t>Keilriemen</t>
  </si>
  <si>
    <t>lblSollfrequenz</t>
  </si>
  <si>
    <t xml:space="preserve"> Soll-Schwingungsfrequenz </t>
  </si>
  <si>
    <t>lblStart1</t>
  </si>
  <si>
    <t>lblStart2</t>
  </si>
  <si>
    <t>lblStart3</t>
  </si>
  <si>
    <t>lblStart4</t>
  </si>
  <si>
    <t>lblStart5</t>
  </si>
  <si>
    <t>lblStart6</t>
  </si>
  <si>
    <t>lblÜbertragung1</t>
  </si>
  <si>
    <t>Wird bei Integration der Kommunikation fertiggestellt</t>
  </si>
  <si>
    <t>MnuBtnDatei</t>
  </si>
  <si>
    <t>Datei</t>
  </si>
  <si>
    <t>MnuBtnEinstellungen</t>
  </si>
  <si>
    <t>Settings</t>
  </si>
  <si>
    <t>MnuBtnInfo</t>
  </si>
  <si>
    <t>Info</t>
  </si>
  <si>
    <t>MnuBtnSenden</t>
  </si>
  <si>
    <t>optKeilriemen</t>
  </si>
  <si>
    <t>optKeilrippenriemen</t>
  </si>
  <si>
    <t>Keilrippenriemen</t>
  </si>
  <si>
    <t>optManuell</t>
  </si>
  <si>
    <t>Manuelle Eingabe</t>
  </si>
  <si>
    <t>optWälzlagerberechnung</t>
  </si>
  <si>
    <t>optZahnriemenSchwarz</t>
  </si>
  <si>
    <t>optZahnriemenWeiss</t>
  </si>
  <si>
    <t>msgTitel1</t>
  </si>
  <si>
    <t>Hinweis…</t>
  </si>
  <si>
    <t>msgTitel2</t>
  </si>
  <si>
    <t>Eingabefehler…</t>
  </si>
  <si>
    <t>msgErsterDatensatz</t>
  </si>
  <si>
    <t>Sie haben den ersten Datensatz erreicht !</t>
  </si>
  <si>
    <t>msgLetzterDatensatz</t>
  </si>
  <si>
    <t>Sie haben den letzten Datensatz erreicht !</t>
  </si>
  <si>
    <t>msgUngültigeFrequenz</t>
  </si>
  <si>
    <t>sind außerhalb des erlaubten Bereiches ! (10 - 400)</t>
  </si>
  <si>
    <t>msgBereichEingabeNum</t>
  </si>
  <si>
    <t>Eingabe liegt außerhalb des erlaubten Bereiches !</t>
  </si>
  <si>
    <t>msgBereichEingabeAlpha</t>
  </si>
  <si>
    <t>Es sind nur numerische Werte erlaubt !</t>
  </si>
  <si>
    <t>msgSuchbereichNum</t>
  </si>
  <si>
    <t>msgSuchbereichAlpha</t>
  </si>
  <si>
    <t>Suchbegriff wurde nicht gefunden !</t>
  </si>
  <si>
    <t>msgErrInternRiemenID</t>
  </si>
  <si>
    <t>Fehler bei RiemenID!</t>
  </si>
  <si>
    <t>msgErrInternBerechnen</t>
  </si>
  <si>
    <t>Fehler bei Berechnung!</t>
  </si>
  <si>
    <t>Const</t>
  </si>
  <si>
    <t>P2</t>
  </si>
  <si>
    <t>Ergebnis</t>
  </si>
  <si>
    <t>P4</t>
  </si>
  <si>
    <t>P5b</t>
  </si>
  <si>
    <t>P7</t>
  </si>
  <si>
    <t>P3²</t>
  </si>
  <si>
    <t>P6</t>
  </si>
  <si>
    <t>P4 - N</t>
  </si>
  <si>
    <t>P5a - D in mm</t>
  </si>
  <si>
    <t>P6 - Kg/m</t>
  </si>
  <si>
    <t>F=</t>
  </si>
  <si>
    <t>CONST</t>
  </si>
  <si>
    <t>Fliehkraft</t>
  </si>
  <si>
    <t>T=</t>
  </si>
  <si>
    <t>Zähler</t>
  </si>
  <si>
    <t>P9 - Riemenanzahl</t>
  </si>
  <si>
    <t>Nenner</t>
  </si>
  <si>
    <t>='T'</t>
  </si>
  <si>
    <t>P3² - Achsbstand</t>
  </si>
  <si>
    <t>Frequenz</t>
  </si>
  <si>
    <t>Frequenz=</t>
  </si>
  <si>
    <t>M=</t>
  </si>
  <si>
    <t>P10</t>
  </si>
  <si>
    <t>P5a</t>
  </si>
  <si>
    <t>M</t>
  </si>
  <si>
    <t>Freq</t>
  </si>
  <si>
    <t>Wälzlager</t>
  </si>
  <si>
    <t>P11</t>
  </si>
  <si>
    <t>Parameter</t>
  </si>
  <si>
    <t>Konstante</t>
  </si>
  <si>
    <t>P2 - KW</t>
  </si>
  <si>
    <t>P3² - Achsabstand</t>
  </si>
  <si>
    <t>P4 - Drehzahl</t>
  </si>
  <si>
    <t>P5b - Zahnanzahl</t>
  </si>
  <si>
    <t>P6 - Riemenmasse</t>
  </si>
  <si>
    <t>P7 - Riementeilung</t>
  </si>
  <si>
    <t>Werte</t>
  </si>
  <si>
    <t>K-Leistung</t>
  </si>
  <si>
    <t>K-Transport</t>
  </si>
  <si>
    <t>K-Positionier</t>
  </si>
  <si>
    <t>T- Zaehler</t>
  </si>
  <si>
    <t>TN-Konst.</t>
  </si>
  <si>
    <t>TN-Lstg.</t>
  </si>
  <si>
    <t>TN-Trsprt</t>
  </si>
  <si>
    <t>TN-Pos/Lin</t>
  </si>
  <si>
    <t>T-L</t>
  </si>
  <si>
    <t>T-T</t>
  </si>
  <si>
    <t>T-P</t>
  </si>
  <si>
    <t>FN</t>
  </si>
  <si>
    <t>F-L</t>
  </si>
  <si>
    <t>F-T</t>
  </si>
  <si>
    <t>F-P</t>
  </si>
  <si>
    <t>LfdNr</t>
  </si>
  <si>
    <t>AntriebsID</t>
  </si>
  <si>
    <t>RiemenID</t>
  </si>
  <si>
    <t>Motorleistung</t>
  </si>
  <si>
    <t>Achsabstand</t>
  </si>
  <si>
    <t>Drehz.d.kl.Riemenscheibe</t>
  </si>
  <si>
    <t>Durchm.d.kl.Riemenscheibe</t>
  </si>
  <si>
    <t>Zahnanz.d.kl.Riemenscheibe</t>
  </si>
  <si>
    <t>Riemenbez.</t>
  </si>
  <si>
    <t>Riemenmasse</t>
  </si>
  <si>
    <t>Riementeilung</t>
  </si>
  <si>
    <t>Riemenanz.</t>
  </si>
  <si>
    <t>Rippenanz.</t>
  </si>
  <si>
    <t>Achslast</t>
  </si>
  <si>
    <t>Anwendung</t>
  </si>
  <si>
    <t>Datum</t>
  </si>
  <si>
    <t>SuKri</t>
  </si>
  <si>
    <t>RiemenId</t>
  </si>
  <si>
    <t>lfdNr</t>
  </si>
  <si>
    <t>Datensatznummer liegt außerhalb des erlaubten Bereiches ! (1 - 20)</t>
  </si>
  <si>
    <t xml:space="preserve"> SPB </t>
  </si>
  <si>
    <t xml:space="preserve"> SPA</t>
  </si>
  <si>
    <t xml:space="preserve"> SPC</t>
  </si>
  <si>
    <t xml:space="preserve"> PJ </t>
  </si>
  <si>
    <t xml:space="preserve"> PL</t>
  </si>
  <si>
    <t xml:space="preserve"> PM </t>
  </si>
  <si>
    <t>V-belt</t>
  </si>
  <si>
    <t>Data of the drive</t>
  </si>
  <si>
    <t>Calculation result</t>
  </si>
  <si>
    <t>navigation</t>
  </si>
  <si>
    <t>belt type</t>
  </si>
  <si>
    <t>menue information</t>
  </si>
  <si>
    <t>menue settings</t>
  </si>
  <si>
    <t>please note !</t>
  </si>
  <si>
    <t>data transmission</t>
  </si>
  <si>
    <t xml:space="preserve"> drive ID</t>
  </si>
  <si>
    <t>max.  30 digits</t>
  </si>
  <si>
    <t xml:space="preserve"> number of ribs</t>
  </si>
  <si>
    <t>ribs</t>
  </si>
  <si>
    <t xml:space="preserve"> max. radial load of the small bearing</t>
  </si>
  <si>
    <t xml:space="preserve"> motorpower [P]</t>
  </si>
  <si>
    <t xml:space="preserve"> axial distance of the pulleys [L]</t>
  </si>
  <si>
    <t xml:space="preserve"> (0,1 - 6000 rpm)</t>
  </si>
  <si>
    <t>rpm</t>
  </si>
  <si>
    <t xml:space="preserve"> diameter of the small pulley [D]</t>
  </si>
  <si>
    <t xml:space="preserve"> number of teeth of the small pulley [z]</t>
  </si>
  <si>
    <t>teeth</t>
  </si>
  <si>
    <t xml:space="preserve"> belt type / beltmass [Kg/m]</t>
  </si>
  <si>
    <t xml:space="preserve"> belt pitch [t]</t>
  </si>
  <si>
    <t xml:space="preserve"> number of V-belts on the pulleys</t>
  </si>
  <si>
    <t xml:space="preserve"> nominal frequency </t>
  </si>
  <si>
    <t xml:space="preserve">PC Tool for Trummeter </t>
  </si>
  <si>
    <t>v-belt</t>
  </si>
  <si>
    <t>ribbed belt</t>
  </si>
  <si>
    <t>enter manually</t>
  </si>
  <si>
    <t>bearings</t>
  </si>
  <si>
    <t>note…</t>
  </si>
  <si>
    <t>fault insert…</t>
  </si>
  <si>
    <t>You are on the first record !</t>
  </si>
  <si>
    <t>You are on the last record !</t>
  </si>
  <si>
    <t>out of the range 10 -400 Hz</t>
  </si>
  <si>
    <t>the application is out of range !</t>
  </si>
  <si>
    <t>please use only numerical values !</t>
  </si>
  <si>
    <t>record number is out of range ! (1 - 20)</t>
  </si>
  <si>
    <t>could not find the data !</t>
  </si>
  <si>
    <t>faulty belt ID !</t>
  </si>
  <si>
    <t>faulty calculation !</t>
  </si>
  <si>
    <t>Antriebsdaten</t>
  </si>
  <si>
    <t>Berechnungsergebnis</t>
  </si>
  <si>
    <t>Com-Auswahl</t>
  </si>
  <si>
    <t>Menue</t>
  </si>
  <si>
    <t xml:space="preserve"> rpm speed of the small pulley [n]</t>
  </si>
  <si>
    <t xml:space="preserve"> Kontakt:kmichelsen@hilger-kern.de</t>
  </si>
  <si>
    <t xml:space="preserve"> contact adress:kmichelsen@hilger-kern.de</t>
  </si>
  <si>
    <t>V-belt type:</t>
  </si>
  <si>
    <t>ribbed belt type :</t>
  </si>
  <si>
    <t>PU tooth belt type :</t>
  </si>
  <si>
    <t>Com Choice</t>
  </si>
  <si>
    <t>Abbrechen</t>
  </si>
  <si>
    <t>Abort</t>
  </si>
  <si>
    <t>Exit</t>
  </si>
  <si>
    <t xml:space="preserve"> SPZ</t>
  </si>
  <si>
    <t xml:space="preserve"> 3V/9N</t>
  </si>
  <si>
    <t xml:space="preserve"> 5V/15N</t>
  </si>
  <si>
    <t xml:space="preserve"> 8V/25N</t>
  </si>
  <si>
    <t xml:space="preserve"> XPZ</t>
  </si>
  <si>
    <t xml:space="preserve"> XPA</t>
  </si>
  <si>
    <t xml:space="preserve"> XPB</t>
  </si>
  <si>
    <t xml:space="preserve"> XPC</t>
  </si>
  <si>
    <t xml:space="preserve"> 3VX / 9NX</t>
  </si>
  <si>
    <t xml:space="preserve"> 5VX / 15NX</t>
  </si>
  <si>
    <t xml:space="preserve"> ZX / X10</t>
  </si>
  <si>
    <t xml:space="preserve"> AX / X13</t>
  </si>
  <si>
    <t xml:space="preserve"> BX / X17</t>
  </si>
  <si>
    <t xml:space="preserve"> CX / X22</t>
  </si>
  <si>
    <t xml:space="preserve"> T 2,5</t>
  </si>
  <si>
    <t xml:space="preserve"> T 5</t>
  </si>
  <si>
    <t xml:space="preserve"> T 10</t>
  </si>
  <si>
    <t xml:space="preserve"> T 20</t>
  </si>
  <si>
    <t xml:space="preserve"> AT3</t>
  </si>
  <si>
    <t xml:space="preserve"> AT5</t>
  </si>
  <si>
    <t xml:space="preserve"> AT10</t>
  </si>
  <si>
    <t xml:space="preserve"> AT20</t>
  </si>
  <si>
    <t xml:space="preserve"> black toothbelt:</t>
  </si>
  <si>
    <t xml:space="preserve"> 3M</t>
  </si>
  <si>
    <t xml:space="preserve"> 5M</t>
  </si>
  <si>
    <t xml:space="preserve"> 8M</t>
  </si>
  <si>
    <t xml:space="preserve"> 14M</t>
  </si>
  <si>
    <t xml:space="preserve"> 20M</t>
  </si>
  <si>
    <t xml:space="preserve"> S8M</t>
  </si>
  <si>
    <t>File Menue</t>
  </si>
  <si>
    <t>File</t>
  </si>
  <si>
    <t>Keilriemen:</t>
  </si>
  <si>
    <t>Manual entry</t>
  </si>
  <si>
    <t>Keilrippenriemen:</t>
  </si>
  <si>
    <t>Zahnriemen weiss:</t>
  </si>
  <si>
    <t xml:space="preserve"> Zahnriemen schwarz:</t>
  </si>
  <si>
    <t>belt type/mass</t>
  </si>
  <si>
    <t>Riementyp/Masse</t>
  </si>
  <si>
    <t xml:space="preserve">PC Tool für Trummeter </t>
  </si>
  <si>
    <t>Attention ! The max. radial load of the bearings may be not lower than 2 time of the standforce of the belt. The belt strandforce is displaid at the panel of the TRUMMETER.</t>
  </si>
  <si>
    <t>This file is an estimation for the nominal frequency of belts. This menue does not calculate belt sizes and dimensions.  The calculated values are guide values with tolerances of +-10 % and may be compared with the measurements of the TRUMMETER. The calculation is based on a belt-contact-length on the pulleys with an angle between 140-180 degrees.The right belt dimensions must be calculated by your drive belt specialist.</t>
  </si>
  <si>
    <t>Beachten Sie, daß bei Neumontage der Riemen, die Einstellung und Messung nach ca. 1 Stunde Betriebszeit wiederholt werden muß, da sich neue Riemen dehnen können. Weitere Details zur Riemenspannung finden Sie in der Trummeter Bedienungsanleitung.</t>
  </si>
  <si>
    <r>
      <t>Dieses Berechnungsprogramm dient zur Ermittlung der Sollwerte der Eigenfrequenzen von Antriebsriemen. Sie dient nicht zur Auslegung der Riemen. Das Berechnungsergebnis wird mit der Frequenzanzeige des Trummeters verglichen. Eine Abweichung von +/- 10 % ist dabei üblich und tolerierbar. Es ist nur ein Richtwert; der exakte Wert wird vom Maschinenkonstrukteur oder vom Riemenlieferant festgelegt. Achtung ! D</t>
    </r>
    <r>
      <rPr>
        <b/>
        <sz val="8"/>
        <rFont val="Arial"/>
        <family val="2"/>
      </rPr>
      <t>er 2-fache Wert der Trumkraft ( N ) darf auf keinem Fall die max. zulässige Radialkraft der Wälzlager überschreiten ! Die Trumkraft in Newton kann vom TRUMMETER abgelesen werden.Die Berechnungen sind nur gültig für Umschlingungswinkel der Riemen auf den Scheiben von 140 - 180 Grad.</t>
    </r>
    <r>
      <rPr>
        <sz val="8"/>
        <rFont val="Arial"/>
        <family val="2"/>
      </rPr>
      <t xml:space="preserve"> </t>
    </r>
  </si>
  <si>
    <t>Please note : the belt adjustment must be checked and adjusted again after 1 hour of beeing in operation. For more details see TRUMMETER brochure.</t>
  </si>
  <si>
    <t>Die Hilger und Kern GmbH übernimmt keine Gewährleistung für zerstörte Riemen oder Wälzlager, die mit den errechneten Werten eingestellt worden sind.</t>
  </si>
  <si>
    <t>Zahnriemen Gummi</t>
  </si>
  <si>
    <t>toothbelt rubber</t>
  </si>
  <si>
    <t>toothbelt polyurethane</t>
  </si>
  <si>
    <t>Zahnriemen Polyurethan</t>
  </si>
  <si>
    <t>lblP12a</t>
  </si>
  <si>
    <t>lblP12a1</t>
  </si>
  <si>
    <t>lblP12a2</t>
  </si>
  <si>
    <t>Anwendung Zahnriemen Polyurethan:</t>
  </si>
  <si>
    <t>Application toothbelt polyurethane:</t>
  </si>
  <si>
    <t>Riemenlaenge</t>
  </si>
  <si>
    <t>P12 - Ges.Riemenlaenge</t>
  </si>
  <si>
    <t>P12*1000/P7</t>
  </si>
  <si>
    <t xml:space="preserve"> Gesamt-Riemenlänge</t>
  </si>
  <si>
    <t>Antrieb #2</t>
  </si>
  <si>
    <t xml:space="preserve"> Leistungsübertragung </t>
  </si>
  <si>
    <t>(0,3 - 3,0)</t>
  </si>
  <si>
    <t>lblHinweis</t>
  </si>
  <si>
    <t xml:space="preserve"> total belt length</t>
  </si>
  <si>
    <t>Hinweis: Diese Berechnung gilt nur für die Leistungsübertragung von 2 Wellen (nicht für Positionier-, Linear- oder Transportantriebe)</t>
  </si>
  <si>
    <t>Please note: The calculation is valid only for power transmission of 2 drive shafts (not for positioning, linear or transport drives)</t>
  </si>
  <si>
    <t xml:space="preserve"> Copyright: 2013, Hilger u. Kern GmbH Mannheim, all rights reserved.</t>
  </si>
  <si>
    <t>Version 2.0</t>
  </si>
  <si>
    <t>Trummeter IV - PC-Tool  V2.0</t>
  </si>
  <si>
    <t>Build: 240413</t>
  </si>
  <si>
    <t>Hilger und Kern GmbH grants no warranty for claims of distroid belts and bearings, even if they have been adjusted with the values of this menu !</t>
  </si>
  <si>
    <t>Eine Auslegung der Riemengröße erstellt Ihnen ein Spezialist der Abteilung Antriebstechnik von Hilger und Kern.</t>
  </si>
  <si>
    <t>Sprache / Language</t>
  </si>
  <si>
    <t>Language / Sprache</t>
  </si>
  <si>
    <t>0,123</t>
  </si>
  <si>
    <t>Antrieb 10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</si>
</sst>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0.00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>
      <alignment/>
    </xf>
    <xf numFmtId="14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186" fontId="0" fillId="34" borderId="0" xfId="0" applyNumberForma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38" borderId="0" xfId="0" applyFill="1" applyAlignment="1">
      <alignment/>
    </xf>
    <xf numFmtId="186" fontId="0" fillId="38" borderId="0" xfId="0" applyNumberFormat="1" applyFill="1" applyAlignment="1">
      <alignment/>
    </xf>
    <xf numFmtId="0" fontId="0" fillId="38" borderId="12" xfId="0" applyFill="1" applyBorder="1" applyAlignment="1">
      <alignment/>
    </xf>
    <xf numFmtId="49" fontId="0" fillId="0" borderId="0" xfId="0" applyNumberFormat="1" applyAlignment="1">
      <alignment/>
    </xf>
    <xf numFmtId="0" fontId="3" fillId="36" borderId="0" xfId="0" applyFont="1" applyFill="1" applyAlignment="1">
      <alignment/>
    </xf>
    <xf numFmtId="0" fontId="6" fillId="0" borderId="0" xfId="0" applyFont="1" applyAlignment="1">
      <alignment/>
    </xf>
    <xf numFmtId="0" fontId="3" fillId="39" borderId="13" xfId="0" applyFont="1" applyFill="1" applyBorder="1" applyAlignment="1">
      <alignment/>
    </xf>
    <xf numFmtId="0" fontId="3" fillId="39" borderId="14" xfId="0" applyFont="1" applyFill="1" applyBorder="1" applyAlignment="1">
      <alignment/>
    </xf>
    <xf numFmtId="0" fontId="3" fillId="39" borderId="15" xfId="0" applyFont="1" applyFill="1" applyBorder="1" applyAlignment="1">
      <alignment/>
    </xf>
    <xf numFmtId="0" fontId="3" fillId="39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39" borderId="19" xfId="0" applyFont="1" applyFill="1" applyBorder="1" applyAlignment="1">
      <alignment/>
    </xf>
    <xf numFmtId="0" fontId="0" fillId="0" borderId="20" xfId="0" applyBorder="1" applyAlignment="1">
      <alignment/>
    </xf>
    <xf numFmtId="0" fontId="3" fillId="39" borderId="14" xfId="0" applyFont="1" applyFill="1" applyBorder="1" applyAlignment="1">
      <alignment horizontal="center"/>
    </xf>
    <xf numFmtId="0" fontId="3" fillId="39" borderId="15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34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0" fillId="0" borderId="17" xfId="0" applyNumberFormat="1" applyBorder="1" applyAlignment="1">
      <alignment/>
    </xf>
    <xf numFmtId="0" fontId="3" fillId="39" borderId="0" xfId="0" applyFont="1" applyFill="1" applyBorder="1" applyAlignment="1">
      <alignment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O61"/>
  <sheetViews>
    <sheetView tabSelected="1" zoomScalePageLayoutView="0" workbookViewId="0" topLeftCell="B1">
      <selection activeCell="A1" sqref="A1"/>
    </sheetView>
  </sheetViews>
  <sheetFormatPr defaultColWidth="11.421875" defaultRowHeight="12.75"/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C48"/>
  <sheetViews>
    <sheetView showRowColHeaders="0" zoomScalePageLayoutView="0" workbookViewId="0" topLeftCell="A19">
      <selection activeCell="D23" sqref="D23"/>
    </sheetView>
  </sheetViews>
  <sheetFormatPr defaultColWidth="11.421875" defaultRowHeight="12.75"/>
  <cols>
    <col min="1" max="1" width="19.28125" style="0" bestFit="1" customWidth="1"/>
    <col min="2" max="2" width="17.28125" style="0" bestFit="1" customWidth="1"/>
    <col min="3" max="3" width="7.00390625" style="0" bestFit="1" customWidth="1"/>
  </cols>
  <sheetData>
    <row r="1" spans="1:3" ht="12.75">
      <c r="A1" s="41" t="s">
        <v>316</v>
      </c>
      <c r="B1" s="41" t="s">
        <v>315</v>
      </c>
      <c r="C1" s="43"/>
    </row>
    <row r="2" spans="1:3" ht="12.75">
      <c r="A2" s="41" t="s">
        <v>120</v>
      </c>
      <c r="B2" s="41" t="s">
        <v>311</v>
      </c>
      <c r="C2" s="41">
        <v>0</v>
      </c>
    </row>
    <row r="3" spans="1:3" ht="12.75">
      <c r="A3" s="41" t="s">
        <v>310</v>
      </c>
      <c r="B3" s="44" t="s">
        <v>272</v>
      </c>
      <c r="C3" s="43"/>
    </row>
    <row r="4" spans="1:3" ht="12.75">
      <c r="A4" s="6" t="s">
        <v>279</v>
      </c>
      <c r="B4" s="6" t="s">
        <v>279</v>
      </c>
      <c r="C4" s="6">
        <v>0.074</v>
      </c>
    </row>
    <row r="5" spans="1:3" ht="12.75">
      <c r="A5" s="6" t="s">
        <v>218</v>
      </c>
      <c r="B5" s="6" t="s">
        <v>218</v>
      </c>
      <c r="C5" s="6">
        <v>0.195</v>
      </c>
    </row>
    <row r="6" spans="1:3" ht="12.75">
      <c r="A6" s="6" t="s">
        <v>219</v>
      </c>
      <c r="B6" s="6" t="s">
        <v>219</v>
      </c>
      <c r="C6" s="6">
        <v>0.123</v>
      </c>
    </row>
    <row r="7" spans="1:3" ht="12.75">
      <c r="A7" s="6" t="s">
        <v>220</v>
      </c>
      <c r="B7" s="6" t="s">
        <v>220</v>
      </c>
      <c r="C7" s="6">
        <v>0.377</v>
      </c>
    </row>
    <row r="8" spans="1:3" ht="12.75">
      <c r="A8" s="8">
        <v>10</v>
      </c>
      <c r="B8" s="8">
        <v>10</v>
      </c>
      <c r="C8" s="6">
        <v>0.064</v>
      </c>
    </row>
    <row r="9" spans="1:3" ht="12.75">
      <c r="A9" s="8">
        <v>13</v>
      </c>
      <c r="B9" s="8">
        <v>13</v>
      </c>
      <c r="C9" s="6">
        <v>0.109</v>
      </c>
    </row>
    <row r="10" spans="1:3" ht="12.75">
      <c r="A10" s="8">
        <v>17</v>
      </c>
      <c r="B10" s="8">
        <v>17</v>
      </c>
      <c r="C10" s="6">
        <v>0.196</v>
      </c>
    </row>
    <row r="11" spans="1:3" ht="12.75">
      <c r="A11" s="8">
        <v>20</v>
      </c>
      <c r="B11" s="8">
        <v>20</v>
      </c>
      <c r="C11" s="6">
        <v>0.2668</v>
      </c>
    </row>
    <row r="12" spans="1:3" ht="12.75">
      <c r="A12" s="8">
        <v>22</v>
      </c>
      <c r="B12" s="8">
        <v>22</v>
      </c>
      <c r="C12" s="6">
        <v>0.324</v>
      </c>
    </row>
    <row r="13" spans="1:3" ht="12.75">
      <c r="A13" s="45">
        <v>25</v>
      </c>
      <c r="B13" s="45">
        <v>25</v>
      </c>
      <c r="C13" s="6">
        <v>0.42</v>
      </c>
    </row>
    <row r="14" spans="1:3" ht="12.75">
      <c r="A14" s="45">
        <v>32</v>
      </c>
      <c r="B14" s="45">
        <v>32</v>
      </c>
      <c r="C14" s="6">
        <v>0.668</v>
      </c>
    </row>
    <row r="15" spans="1:3" ht="12.75">
      <c r="A15" s="45">
        <v>40</v>
      </c>
      <c r="B15" s="45">
        <v>40</v>
      </c>
      <c r="C15" s="6">
        <v>0.958</v>
      </c>
    </row>
    <row r="16" spans="1:3" ht="12.75">
      <c r="A16" s="42" t="s">
        <v>280</v>
      </c>
      <c r="B16" s="42" t="s">
        <v>280</v>
      </c>
      <c r="C16" s="6">
        <v>0.074</v>
      </c>
    </row>
    <row r="17" spans="1:3" ht="12.75">
      <c r="A17" s="42" t="s">
        <v>281</v>
      </c>
      <c r="B17" s="42" t="s">
        <v>281</v>
      </c>
      <c r="C17" s="6">
        <v>0.195</v>
      </c>
    </row>
    <row r="18" spans="1:3" ht="12.75">
      <c r="A18" s="42" t="s">
        <v>282</v>
      </c>
      <c r="B18" s="42" t="s">
        <v>282</v>
      </c>
      <c r="C18" s="6">
        <v>0.575</v>
      </c>
    </row>
    <row r="19" spans="1:3" ht="12.75">
      <c r="A19" s="42" t="s">
        <v>283</v>
      </c>
      <c r="B19" s="42" t="s">
        <v>283</v>
      </c>
      <c r="C19" s="6">
        <v>0.065</v>
      </c>
    </row>
    <row r="20" spans="1:3" ht="12.75">
      <c r="A20" s="42" t="s">
        <v>284</v>
      </c>
      <c r="B20" s="42" t="s">
        <v>284</v>
      </c>
      <c r="C20" s="6">
        <v>0.105</v>
      </c>
    </row>
    <row r="21" spans="1:3" ht="12.75">
      <c r="A21" s="42" t="s">
        <v>285</v>
      </c>
      <c r="B21" s="42" t="s">
        <v>285</v>
      </c>
      <c r="C21" s="6">
        <v>0.183</v>
      </c>
    </row>
    <row r="22" spans="1:3" ht="12.75">
      <c r="A22" s="42" t="s">
        <v>286</v>
      </c>
      <c r="B22" s="42" t="s">
        <v>286</v>
      </c>
      <c r="C22" s="6">
        <v>0.34</v>
      </c>
    </row>
    <row r="23" spans="1:3" ht="12.75">
      <c r="A23" s="42" t="s">
        <v>287</v>
      </c>
      <c r="B23" s="42" t="s">
        <v>287</v>
      </c>
      <c r="C23" s="6">
        <v>0.065</v>
      </c>
    </row>
    <row r="24" spans="1:3" ht="12.75">
      <c r="A24" s="42" t="s">
        <v>288</v>
      </c>
      <c r="B24" s="42" t="s">
        <v>288</v>
      </c>
      <c r="C24" s="6">
        <v>0.183</v>
      </c>
    </row>
    <row r="25" spans="1:3" ht="12.75">
      <c r="A25" s="42" t="s">
        <v>289</v>
      </c>
      <c r="B25" s="42" t="s">
        <v>289</v>
      </c>
      <c r="C25" s="6">
        <v>0.062</v>
      </c>
    </row>
    <row r="26" spans="1:3" ht="12.75">
      <c r="A26" s="42" t="s">
        <v>290</v>
      </c>
      <c r="B26" s="42" t="s">
        <v>290</v>
      </c>
      <c r="C26" s="6">
        <v>0.099</v>
      </c>
    </row>
    <row r="27" spans="1:3" ht="12.75">
      <c r="A27" s="42" t="s">
        <v>291</v>
      </c>
      <c r="B27" s="42" t="s">
        <v>291</v>
      </c>
      <c r="C27" s="6">
        <v>0.165</v>
      </c>
    </row>
    <row r="28" spans="1:3" ht="12.75">
      <c r="A28" s="42" t="s">
        <v>292</v>
      </c>
      <c r="B28" s="42" t="s">
        <v>292</v>
      </c>
      <c r="C28" s="6">
        <v>0.0276</v>
      </c>
    </row>
    <row r="29" spans="1:3" ht="12.75">
      <c r="A29" s="6" t="s">
        <v>312</v>
      </c>
      <c r="B29" s="42" t="s">
        <v>273</v>
      </c>
      <c r="C29" s="6"/>
    </row>
    <row r="30" spans="1:3" ht="12.75">
      <c r="A30" s="42" t="s">
        <v>221</v>
      </c>
      <c r="B30" s="42" t="s">
        <v>221</v>
      </c>
      <c r="C30" s="6">
        <v>0.082</v>
      </c>
    </row>
    <row r="31" spans="1:3" ht="12.75">
      <c r="A31" s="42" t="s">
        <v>222</v>
      </c>
      <c r="B31" s="42" t="s">
        <v>222</v>
      </c>
      <c r="C31" s="6">
        <v>0.32</v>
      </c>
    </row>
    <row r="32" spans="1:3" ht="12.75">
      <c r="A32" s="42" t="s">
        <v>223</v>
      </c>
      <c r="B32" s="42" t="s">
        <v>223</v>
      </c>
      <c r="C32" s="6">
        <v>1.1</v>
      </c>
    </row>
    <row r="33" spans="1:3" ht="12.75">
      <c r="A33" s="6" t="s">
        <v>313</v>
      </c>
      <c r="B33" s="42" t="s">
        <v>274</v>
      </c>
      <c r="C33" s="6"/>
    </row>
    <row r="34" spans="1:3" ht="12.75">
      <c r="A34" s="42" t="s">
        <v>293</v>
      </c>
      <c r="B34" s="42" t="s">
        <v>293</v>
      </c>
      <c r="C34" s="6">
        <v>0.015</v>
      </c>
    </row>
    <row r="35" spans="1:3" ht="12.75">
      <c r="A35" s="42" t="s">
        <v>294</v>
      </c>
      <c r="B35" s="42" t="s">
        <v>294</v>
      </c>
      <c r="C35" s="6">
        <v>0.024</v>
      </c>
    </row>
    <row r="36" spans="1:3" ht="12.75">
      <c r="A36" s="42" t="s">
        <v>295</v>
      </c>
      <c r="B36" s="42" t="s">
        <v>295</v>
      </c>
      <c r="C36" s="6">
        <v>0.048</v>
      </c>
    </row>
    <row r="37" spans="1:3" ht="12.75">
      <c r="A37" s="42" t="s">
        <v>296</v>
      </c>
      <c r="B37" s="42" t="s">
        <v>296</v>
      </c>
      <c r="C37" s="6">
        <v>0.084</v>
      </c>
    </row>
    <row r="38" spans="1:3" ht="12.75">
      <c r="A38" s="42" t="s">
        <v>297</v>
      </c>
      <c r="B38" s="42" t="s">
        <v>297</v>
      </c>
      <c r="C38" s="6">
        <v>0.023</v>
      </c>
    </row>
    <row r="39" spans="1:3" ht="12.75">
      <c r="A39" s="6" t="s">
        <v>298</v>
      </c>
      <c r="B39" s="6" t="s">
        <v>298</v>
      </c>
      <c r="C39" s="6">
        <v>0.034</v>
      </c>
    </row>
    <row r="40" spans="1:3" ht="12.75">
      <c r="A40" s="6" t="s">
        <v>299</v>
      </c>
      <c r="B40" s="6" t="s">
        <v>299</v>
      </c>
      <c r="C40" s="6">
        <v>0.063</v>
      </c>
    </row>
    <row r="41" spans="1:3" ht="12.75">
      <c r="A41" s="6" t="s">
        <v>300</v>
      </c>
      <c r="B41" s="6" t="s">
        <v>300</v>
      </c>
      <c r="C41" s="6">
        <v>0.106</v>
      </c>
    </row>
    <row r="42" spans="1:3" ht="12.75">
      <c r="A42" s="6" t="s">
        <v>314</v>
      </c>
      <c r="B42" s="6" t="s">
        <v>301</v>
      </c>
      <c r="C42" s="6"/>
    </row>
    <row r="43" spans="1:3" ht="12.75">
      <c r="A43" s="6" t="s">
        <v>302</v>
      </c>
      <c r="B43" s="6" t="s">
        <v>302</v>
      </c>
      <c r="C43" s="6">
        <v>0.025</v>
      </c>
    </row>
    <row r="44" spans="1:3" ht="12.75">
      <c r="A44" s="6" t="s">
        <v>303</v>
      </c>
      <c r="B44" s="6" t="s">
        <v>303</v>
      </c>
      <c r="C44" s="6">
        <v>0.034</v>
      </c>
    </row>
    <row r="45" spans="1:3" ht="12.75">
      <c r="A45" s="6" t="s">
        <v>304</v>
      </c>
      <c r="B45" s="6" t="s">
        <v>304</v>
      </c>
      <c r="C45" s="6">
        <v>0.057</v>
      </c>
    </row>
    <row r="46" spans="1:3" ht="12.75">
      <c r="A46" s="6" t="s">
        <v>305</v>
      </c>
      <c r="B46" s="6" t="s">
        <v>305</v>
      </c>
      <c r="C46" s="6">
        <v>0.103</v>
      </c>
    </row>
    <row r="47" spans="1:3" ht="12.75">
      <c r="A47" s="6" t="s">
        <v>306</v>
      </c>
      <c r="B47" s="6" t="s">
        <v>306</v>
      </c>
      <c r="C47" s="6">
        <v>0.147</v>
      </c>
    </row>
    <row r="48" spans="1:3" ht="12.75">
      <c r="A48" s="6" t="s">
        <v>307</v>
      </c>
      <c r="B48" s="6" t="s">
        <v>307</v>
      </c>
      <c r="C48" s="6">
        <v>0.052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L72"/>
  <sheetViews>
    <sheetView zoomScalePageLayoutView="0" workbookViewId="0" topLeftCell="A34">
      <selection activeCell="C72" sqref="C72"/>
    </sheetView>
  </sheetViews>
  <sheetFormatPr defaultColWidth="11.421875" defaultRowHeight="12.75"/>
  <cols>
    <col min="1" max="1" width="15.57421875" style="0" customWidth="1"/>
    <col min="2" max="2" width="12.57421875" style="0" bestFit="1" customWidth="1"/>
    <col min="3" max="3" width="15.00390625" style="0" customWidth="1"/>
    <col min="4" max="4" width="11.8515625" style="0" customWidth="1"/>
    <col min="5" max="5" width="13.421875" style="0" customWidth="1"/>
    <col min="6" max="6" width="16.421875" style="0" customWidth="1"/>
    <col min="8" max="8" width="23.00390625" style="0" customWidth="1"/>
    <col min="9" max="9" width="22.7109375" style="0" customWidth="1"/>
  </cols>
  <sheetData>
    <row r="1" spans="1:6" ht="12.75">
      <c r="A1" t="s">
        <v>145</v>
      </c>
      <c r="B1" s="10" t="s">
        <v>146</v>
      </c>
      <c r="F1" t="s">
        <v>147</v>
      </c>
    </row>
    <row r="2" spans="1:6" ht="12.75">
      <c r="A2">
        <f>60*POWER(10,6)</f>
        <v>60000000</v>
      </c>
      <c r="B2" s="11">
        <v>2</v>
      </c>
      <c r="F2" s="9">
        <f>A2*B2</f>
        <v>120000000</v>
      </c>
    </row>
    <row r="4" spans="2:4" ht="12.75">
      <c r="B4" s="10" t="s">
        <v>148</v>
      </c>
      <c r="C4" s="10" t="s">
        <v>149</v>
      </c>
      <c r="D4" s="10" t="s">
        <v>150</v>
      </c>
    </row>
    <row r="5" spans="1:6" ht="12.75">
      <c r="A5" s="11">
        <v>1.5</v>
      </c>
      <c r="B5" s="11">
        <v>3000</v>
      </c>
      <c r="C5" s="11">
        <v>10</v>
      </c>
      <c r="D5" s="11">
        <v>5</v>
      </c>
      <c r="E5" s="11"/>
      <c r="F5" s="12">
        <f>B5*C5*D5/A5</f>
        <v>100000</v>
      </c>
    </row>
    <row r="7" ht="12.75">
      <c r="F7" s="13">
        <f>F2/F5</f>
        <v>1200</v>
      </c>
    </row>
    <row r="9" spans="2:3" ht="12.75">
      <c r="B9" t="s">
        <v>151</v>
      </c>
      <c r="C9" t="s">
        <v>152</v>
      </c>
    </row>
    <row r="10" spans="1:6" ht="12.75">
      <c r="A10" s="11">
        <v>4</v>
      </c>
      <c r="B10" s="11">
        <v>0.02250000089406967</v>
      </c>
      <c r="C10" s="11">
        <v>0.024</v>
      </c>
      <c r="D10" s="11"/>
      <c r="E10" s="11"/>
      <c r="F10" s="12">
        <f>A10*B10*C10</f>
        <v>0.0021600000858306885</v>
      </c>
    </row>
    <row r="13" ht="12.75">
      <c r="F13" s="13">
        <f>F7/F10</f>
        <v>555555.533479762</v>
      </c>
    </row>
    <row r="16" ht="12.75">
      <c r="F16" s="14">
        <f>ROUND(SQRT(F13),0)</f>
        <v>745</v>
      </c>
    </row>
    <row r="17" spans="1:12" ht="3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ht="12.75">
      <c r="A18" t="s">
        <v>98</v>
      </c>
    </row>
    <row r="19" spans="2:5" ht="12.75">
      <c r="B19" s="1" t="s">
        <v>153</v>
      </c>
      <c r="C19" s="1" t="s">
        <v>154</v>
      </c>
      <c r="D19" s="1" t="s">
        <v>155</v>
      </c>
      <c r="E19" s="1"/>
    </row>
    <row r="20" spans="1:5" ht="12.75">
      <c r="A20" t="s">
        <v>156</v>
      </c>
      <c r="B20" s="11">
        <v>3000</v>
      </c>
      <c r="C20" s="11">
        <v>100</v>
      </c>
      <c r="D20" s="11" t="s">
        <v>352</v>
      </c>
      <c r="E20" s="11">
        <f>B20*C20*D20</f>
        <v>36900</v>
      </c>
    </row>
    <row r="21" spans="5:7" ht="12.75">
      <c r="E21" s="16">
        <f>E20/19100</f>
        <v>1.931937172774869</v>
      </c>
      <c r="G21">
        <f>B20*C20/19100</f>
        <v>15.706806282722512</v>
      </c>
    </row>
    <row r="22" ht="12.75">
      <c r="G22" s="17">
        <f>POWER(G21,2)</f>
        <v>246.70376360297138</v>
      </c>
    </row>
    <row r="23" spans="2:8" ht="12.75">
      <c r="B23" s="1" t="s">
        <v>157</v>
      </c>
      <c r="C23" s="1" t="s">
        <v>157</v>
      </c>
      <c r="D23" s="1" t="s">
        <v>146</v>
      </c>
      <c r="E23" s="1"/>
      <c r="G23" s="18">
        <f>D20*G22</f>
        <v>30.34456292316548</v>
      </c>
      <c r="H23" s="18" t="s">
        <v>158</v>
      </c>
    </row>
    <row r="24" spans="1:6" ht="12.75">
      <c r="A24" t="s">
        <v>159</v>
      </c>
      <c r="B24" s="11">
        <v>1.3</v>
      </c>
      <c r="C24" s="11">
        <v>540</v>
      </c>
      <c r="D24" s="11">
        <v>5</v>
      </c>
      <c r="E24" s="19">
        <f>B24*C24*D24</f>
        <v>3510</v>
      </c>
      <c r="F24" s="18" t="s">
        <v>160</v>
      </c>
    </row>
    <row r="26" spans="2:5" ht="12.75">
      <c r="B26" s="1" t="s">
        <v>153</v>
      </c>
      <c r="C26" s="1" t="s">
        <v>154</v>
      </c>
      <c r="D26" s="1" t="s">
        <v>161</v>
      </c>
      <c r="E26" s="1"/>
    </row>
    <row r="27" spans="2:7" ht="13.5" thickBot="1">
      <c r="B27" s="11">
        <f>B20</f>
        <v>3000</v>
      </c>
      <c r="C27" s="11">
        <f>C20</f>
        <v>100</v>
      </c>
      <c r="D27" s="11">
        <v>1</v>
      </c>
      <c r="E27" s="11">
        <f>B27*C27*D27</f>
        <v>300000</v>
      </c>
      <c r="G27">
        <v>19100</v>
      </c>
    </row>
    <row r="28" spans="5:8" ht="13.5" thickBot="1">
      <c r="E28" s="16">
        <f>E24/G28</f>
        <v>223.47</v>
      </c>
      <c r="G28" s="20">
        <f>E27/G27</f>
        <v>15.706806282722512</v>
      </c>
      <c r="H28" s="18" t="s">
        <v>162</v>
      </c>
    </row>
    <row r="29" spans="5:6" ht="12.75">
      <c r="E29" s="19">
        <f>E28+G23</f>
        <v>253.81456292316548</v>
      </c>
      <c r="F29" s="21" t="s">
        <v>163</v>
      </c>
    </row>
    <row r="30" spans="2:8" ht="12.75">
      <c r="B30" s="1" t="s">
        <v>157</v>
      </c>
      <c r="C30" s="1" t="s">
        <v>164</v>
      </c>
      <c r="D30" s="1" t="s">
        <v>155</v>
      </c>
      <c r="E30" s="1"/>
      <c r="G30" s="9">
        <f>E24/G28</f>
        <v>223.47</v>
      </c>
      <c r="H30" t="s">
        <v>165</v>
      </c>
    </row>
    <row r="31" spans="2:5" ht="12.75">
      <c r="B31" s="11">
        <v>4</v>
      </c>
      <c r="C31" s="11">
        <v>1</v>
      </c>
      <c r="D31" s="11" t="str">
        <f>D20</f>
        <v>0,123</v>
      </c>
      <c r="E31" s="11">
        <f>B31*C31*D31</f>
        <v>0.492</v>
      </c>
    </row>
    <row r="32" ht="12.75">
      <c r="E32">
        <f>E29/E31</f>
        <v>515.8832579739136</v>
      </c>
    </row>
    <row r="33" spans="1:5" ht="12.75">
      <c r="A33" t="s">
        <v>166</v>
      </c>
      <c r="E33" s="22">
        <f>ROUND(SQRT(E32),0)</f>
        <v>23</v>
      </c>
    </row>
    <row r="35" spans="1:12" ht="3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ht="12.75">
      <c r="A36" t="s">
        <v>118</v>
      </c>
    </row>
    <row r="37" spans="1:4" ht="12.75">
      <c r="A37" t="s">
        <v>167</v>
      </c>
      <c r="C37" t="s">
        <v>152</v>
      </c>
      <c r="D37" t="s">
        <v>168</v>
      </c>
    </row>
    <row r="38" spans="2:5" ht="12.75">
      <c r="B38" s="11">
        <v>0.1</v>
      </c>
      <c r="C38" s="11">
        <v>0.024</v>
      </c>
      <c r="D38" s="11">
        <v>5</v>
      </c>
      <c r="E38" s="11">
        <f>B38*C38*D38</f>
        <v>0.012</v>
      </c>
    </row>
    <row r="40" spans="1:4" ht="12.75">
      <c r="A40" t="s">
        <v>159</v>
      </c>
      <c r="B40" t="s">
        <v>146</v>
      </c>
      <c r="C40" t="s">
        <v>148</v>
      </c>
      <c r="D40" t="s">
        <v>169</v>
      </c>
    </row>
    <row r="41" spans="1:5" ht="12.75">
      <c r="A41" s="11">
        <f>1.3*1.4*1000*19100</f>
        <v>34761999.99999999</v>
      </c>
      <c r="B41">
        <v>2</v>
      </c>
      <c r="C41" s="11">
        <v>3000</v>
      </c>
      <c r="D41" s="11">
        <v>200</v>
      </c>
      <c r="E41" s="11">
        <f>C41*D41</f>
        <v>600000</v>
      </c>
    </row>
    <row r="42" ht="12.75">
      <c r="E42" s="16">
        <f>A41*B41/E41</f>
        <v>115.8733333333333</v>
      </c>
    </row>
    <row r="43" spans="3:4" ht="12.75">
      <c r="C43" t="s">
        <v>151</v>
      </c>
      <c r="D43" t="s">
        <v>170</v>
      </c>
    </row>
    <row r="44" spans="1:5" ht="12.75">
      <c r="A44" t="s">
        <v>171</v>
      </c>
      <c r="C44" s="11">
        <v>0.02250000089406967</v>
      </c>
      <c r="D44" s="11">
        <f>E38</f>
        <v>0.012</v>
      </c>
      <c r="E44" s="11">
        <f>C44*D44*4</f>
        <v>0.0010800000429153443</v>
      </c>
    </row>
    <row r="45" ht="12.75">
      <c r="E45">
        <f>E42/E44</f>
        <v>107290.1191934638</v>
      </c>
    </row>
    <row r="46" ht="12.75">
      <c r="E46" s="14">
        <f>ROUND(SQRT(E45),0)</f>
        <v>328</v>
      </c>
    </row>
    <row r="48" spans="1:12" ht="3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ht="12.75">
      <c r="A49" t="s">
        <v>172</v>
      </c>
    </row>
    <row r="50" ht="12.75">
      <c r="C50" t="s">
        <v>173</v>
      </c>
    </row>
    <row r="51" spans="2:5" ht="12.75">
      <c r="B51">
        <v>0.35</v>
      </c>
      <c r="C51" s="11">
        <v>5</v>
      </c>
      <c r="D51" s="11"/>
      <c r="E51" s="11">
        <f>B51*C51</f>
        <v>1.75</v>
      </c>
    </row>
    <row r="53" spans="3:4" ht="12.75">
      <c r="C53" t="s">
        <v>151</v>
      </c>
      <c r="D53" t="s">
        <v>152</v>
      </c>
    </row>
    <row r="54" spans="2:5" ht="12.75">
      <c r="B54">
        <v>4</v>
      </c>
      <c r="C54" s="11">
        <v>0.02250000089406967</v>
      </c>
      <c r="D54" s="11">
        <v>0.024</v>
      </c>
      <c r="E54" s="11">
        <f>B54*C54*D54</f>
        <v>0.0021600000858306885</v>
      </c>
    </row>
    <row r="56" ht="12.75">
      <c r="E56">
        <f>E51/E54</f>
        <v>810.1851529913197</v>
      </c>
    </row>
    <row r="57" ht="12.75">
      <c r="E57" s="14">
        <f>ROUND(SQRT(E56),0)</f>
        <v>28</v>
      </c>
    </row>
    <row r="59" spans="1:11" ht="4.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ht="12.75">
      <c r="A60" s="23" t="s">
        <v>327</v>
      </c>
    </row>
    <row r="61" ht="13.5" thickBot="1"/>
    <row r="62" spans="1:9" ht="12.75">
      <c r="A62" s="24" t="s">
        <v>174</v>
      </c>
      <c r="B62" s="25" t="s">
        <v>175</v>
      </c>
      <c r="C62" s="25" t="s">
        <v>176</v>
      </c>
      <c r="D62" s="25" t="s">
        <v>177</v>
      </c>
      <c r="E62" s="25" t="s">
        <v>178</v>
      </c>
      <c r="F62" s="25" t="s">
        <v>179</v>
      </c>
      <c r="G62" s="25" t="s">
        <v>180</v>
      </c>
      <c r="H62" s="25" t="s">
        <v>181</v>
      </c>
      <c r="I62" s="33" t="s">
        <v>334</v>
      </c>
    </row>
    <row r="63" spans="1:9" ht="13.5" thickBot="1">
      <c r="A63" s="27" t="s">
        <v>182</v>
      </c>
      <c r="B63" s="28">
        <f>POWER(10,6)*60</f>
        <v>60000000</v>
      </c>
      <c r="C63" s="28">
        <v>5</v>
      </c>
      <c r="D63" s="28">
        <v>1</v>
      </c>
      <c r="E63" s="28">
        <v>1000</v>
      </c>
      <c r="F63" s="28">
        <v>30</v>
      </c>
      <c r="G63" s="28">
        <v>0</v>
      </c>
      <c r="H63" s="48">
        <v>5</v>
      </c>
      <c r="I63" s="29">
        <v>2</v>
      </c>
    </row>
    <row r="64" ht="13.5" thickBot="1"/>
    <row r="65" spans="1:6" ht="12.75">
      <c r="A65" s="24" t="s">
        <v>174</v>
      </c>
      <c r="B65" s="30" t="s">
        <v>183</v>
      </c>
      <c r="C65" s="25" t="s">
        <v>184</v>
      </c>
      <c r="D65" s="26" t="s">
        <v>185</v>
      </c>
      <c r="F65" s="49" t="s">
        <v>335</v>
      </c>
    </row>
    <row r="66" spans="1:6" ht="13.5" thickBot="1">
      <c r="A66" s="27" t="s">
        <v>182</v>
      </c>
      <c r="B66" s="31">
        <f>IF(F66&gt;60,IF(F66&gt;150,0.666,0.5),0.333)</f>
        <v>0.666</v>
      </c>
      <c r="C66" s="28">
        <v>0.5</v>
      </c>
      <c r="D66" s="29">
        <v>1</v>
      </c>
      <c r="F66">
        <f>I63*1000/H63</f>
        <v>400</v>
      </c>
    </row>
    <row r="67" ht="13.5" thickBot="1"/>
    <row r="68" spans="1:9" ht="12.75">
      <c r="A68" s="24" t="s">
        <v>174</v>
      </c>
      <c r="B68" s="30" t="s">
        <v>186</v>
      </c>
      <c r="C68" s="25" t="s">
        <v>187</v>
      </c>
      <c r="D68" s="25" t="s">
        <v>188</v>
      </c>
      <c r="E68" s="25" t="s">
        <v>189</v>
      </c>
      <c r="F68" s="25" t="s">
        <v>190</v>
      </c>
      <c r="G68" s="32" t="s">
        <v>191</v>
      </c>
      <c r="H68" s="32" t="s">
        <v>192</v>
      </c>
      <c r="I68" s="33" t="s">
        <v>193</v>
      </c>
    </row>
    <row r="69" spans="1:9" ht="13.5" thickBot="1">
      <c r="A69" s="27" t="s">
        <v>182</v>
      </c>
      <c r="B69" s="31">
        <f>$B$63*C63</f>
        <v>300000000</v>
      </c>
      <c r="C69" s="28">
        <f>E63*F63*H63</f>
        <v>150000</v>
      </c>
      <c r="D69" s="28">
        <f>$C$69/B66</f>
        <v>225225.2252252252</v>
      </c>
      <c r="E69" s="28">
        <f>$C$69/C66</f>
        <v>300000</v>
      </c>
      <c r="F69" s="28">
        <f>$C$69/D66</f>
        <v>150000</v>
      </c>
      <c r="G69" s="28">
        <f>$B$69/D69</f>
        <v>1332</v>
      </c>
      <c r="H69" s="28">
        <f>$B$69/E69</f>
        <v>1000</v>
      </c>
      <c r="I69" s="29">
        <f>$B$69/F69</f>
        <v>2000</v>
      </c>
    </row>
    <row r="70" ht="13.5" thickBot="1"/>
    <row r="71" spans="1:5" ht="12.75">
      <c r="A71" s="24" t="s">
        <v>174</v>
      </c>
      <c r="B71" s="30" t="s">
        <v>194</v>
      </c>
      <c r="C71" s="32" t="s">
        <v>195</v>
      </c>
      <c r="D71" s="32" t="s">
        <v>196</v>
      </c>
      <c r="E71" s="33" t="s">
        <v>197</v>
      </c>
    </row>
    <row r="72" spans="1:5" ht="13.5" thickBot="1">
      <c r="A72" s="27" t="s">
        <v>182</v>
      </c>
      <c r="B72" s="31">
        <f>4*D63*G63</f>
        <v>0</v>
      </c>
      <c r="C72" s="28" t="e">
        <f>ROUND(SQRT(G69/$B$72),0)</f>
        <v>#DIV/0!</v>
      </c>
      <c r="D72" s="28" t="e">
        <f>ROUND(SQRT(H69/$B$72),0)</f>
        <v>#DIV/0!</v>
      </c>
      <c r="E72" s="29" t="e">
        <f>ROUND(SQRT(I69/$B$72),0)</f>
        <v>#DIV/0!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S31"/>
  <sheetViews>
    <sheetView zoomScale="75" zoomScaleNormal="75" zoomScalePageLayoutView="0" workbookViewId="0" topLeftCell="C1">
      <selection activeCell="R26" sqref="R26"/>
    </sheetView>
  </sheetViews>
  <sheetFormatPr defaultColWidth="11.421875" defaultRowHeight="12.75"/>
  <cols>
    <col min="1" max="1" width="10.57421875" style="0" customWidth="1"/>
    <col min="6" max="6" width="23.00390625" style="0" bestFit="1" customWidth="1"/>
    <col min="7" max="7" width="24.57421875" style="0" bestFit="1" customWidth="1"/>
    <col min="8" max="8" width="25.140625" style="0" bestFit="1" customWidth="1"/>
    <col min="11" max="11" width="12.57421875" style="0" customWidth="1"/>
    <col min="15" max="15" width="13.8515625" style="0" customWidth="1"/>
    <col min="16" max="16" width="22.7109375" style="0" customWidth="1"/>
    <col min="19" max="19" width="17.00390625" style="0" customWidth="1"/>
  </cols>
  <sheetData>
    <row r="1" spans="1:19" ht="12.75">
      <c r="A1" s="1" t="s">
        <v>198</v>
      </c>
      <c r="B1" s="34" t="s">
        <v>199</v>
      </c>
      <c r="C1" s="34" t="s">
        <v>200</v>
      </c>
      <c r="D1" s="1" t="s">
        <v>201</v>
      </c>
      <c r="E1" s="1" t="s">
        <v>202</v>
      </c>
      <c r="F1" s="1" t="s">
        <v>203</v>
      </c>
      <c r="G1" s="1" t="s">
        <v>204</v>
      </c>
      <c r="H1" s="1" t="s">
        <v>205</v>
      </c>
      <c r="I1" s="1" t="s">
        <v>206</v>
      </c>
      <c r="J1" s="1" t="s">
        <v>207</v>
      </c>
      <c r="K1" s="1" t="s">
        <v>208</v>
      </c>
      <c r="L1" s="1" t="s">
        <v>209</v>
      </c>
      <c r="M1" s="1" t="s">
        <v>210</v>
      </c>
      <c r="N1" s="1" t="s">
        <v>211</v>
      </c>
      <c r="O1" s="1" t="s">
        <v>333</v>
      </c>
      <c r="P1" s="1" t="s">
        <v>212</v>
      </c>
      <c r="Q1" s="1" t="s">
        <v>198</v>
      </c>
      <c r="R1" s="1" t="s">
        <v>165</v>
      </c>
      <c r="S1" s="1" t="s">
        <v>213</v>
      </c>
    </row>
    <row r="2" spans="1:17" ht="12.75">
      <c r="A2" s="1"/>
      <c r="Q2" s="1"/>
    </row>
    <row r="3" spans="1:19" ht="12.75">
      <c r="A3" s="34">
        <v>1</v>
      </c>
      <c r="B3" s="35" t="s">
        <v>353</v>
      </c>
      <c r="C3" s="35">
        <v>0</v>
      </c>
      <c r="D3" s="35">
        <v>5</v>
      </c>
      <c r="E3" s="35">
        <v>1</v>
      </c>
      <c r="F3" s="35">
        <v>3000</v>
      </c>
      <c r="G3" s="35">
        <v>100</v>
      </c>
      <c r="H3" s="35">
        <v>0</v>
      </c>
      <c r="I3" s="35" t="s">
        <v>219</v>
      </c>
      <c r="J3" s="35" t="s">
        <v>352</v>
      </c>
      <c r="K3" s="35">
        <v>0</v>
      </c>
      <c r="L3" s="35">
        <v>1</v>
      </c>
      <c r="M3" s="35">
        <v>0</v>
      </c>
      <c r="N3" s="35">
        <v>0</v>
      </c>
      <c r="O3" s="35">
        <v>0</v>
      </c>
      <c r="P3" s="35" t="s">
        <v>338</v>
      </c>
      <c r="Q3" s="34">
        <v>1</v>
      </c>
      <c r="R3" s="35">
        <v>23</v>
      </c>
      <c r="S3" s="3">
        <v>42942.3644212963</v>
      </c>
    </row>
    <row r="4" spans="1:19" ht="12.75">
      <c r="A4" s="34">
        <v>2</v>
      </c>
      <c r="B4" s="35" t="s">
        <v>337</v>
      </c>
      <c r="C4" s="35">
        <v>0</v>
      </c>
      <c r="D4" s="35">
        <v>5</v>
      </c>
      <c r="E4" s="35">
        <v>1</v>
      </c>
      <c r="F4" s="35">
        <v>1000</v>
      </c>
      <c r="G4" s="35">
        <v>100</v>
      </c>
      <c r="H4" s="35">
        <v>0</v>
      </c>
      <c r="I4" s="35" t="s">
        <v>279</v>
      </c>
      <c r="J4" s="35">
        <v>0.074</v>
      </c>
      <c r="K4" s="35">
        <v>0</v>
      </c>
      <c r="L4" s="35">
        <v>10</v>
      </c>
      <c r="M4" s="35">
        <v>0</v>
      </c>
      <c r="N4" s="35">
        <v>0</v>
      </c>
      <c r="O4" s="35">
        <v>0</v>
      </c>
      <c r="P4" s="35"/>
      <c r="Q4" s="34">
        <v>2</v>
      </c>
      <c r="R4">
        <v>15</v>
      </c>
      <c r="S4" s="3">
        <v>41387.44866898148</v>
      </c>
    </row>
    <row r="5" spans="1:19" ht="12.75">
      <c r="A5" s="34">
        <v>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4">
        <v>3</v>
      </c>
      <c r="S5" s="3"/>
    </row>
    <row r="6" spans="1:19" ht="12.75">
      <c r="A6" s="34">
        <v>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4">
        <v>4</v>
      </c>
      <c r="S6" s="3"/>
    </row>
    <row r="7" spans="1:19" ht="12.75">
      <c r="A7" s="34">
        <v>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4">
        <v>5</v>
      </c>
      <c r="S7" s="3"/>
    </row>
    <row r="8" spans="1:17" ht="12.75">
      <c r="A8" s="34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4">
        <v>6</v>
      </c>
    </row>
    <row r="9" spans="1:19" ht="12.75">
      <c r="A9" s="34">
        <v>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4">
        <v>7</v>
      </c>
      <c r="S9" s="3"/>
    </row>
    <row r="10" spans="1:19" ht="12.75">
      <c r="A10" s="34">
        <v>8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>
        <v>8</v>
      </c>
      <c r="S10" s="3"/>
    </row>
    <row r="11" spans="1:19" ht="12.75">
      <c r="A11" s="34">
        <v>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4">
        <v>9</v>
      </c>
      <c r="S11" s="3"/>
    </row>
    <row r="12" spans="1:19" ht="12.75">
      <c r="A12" s="34">
        <v>10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4">
        <v>10</v>
      </c>
      <c r="S12" s="3"/>
    </row>
    <row r="13" spans="1:19" ht="12.75">
      <c r="A13" s="34">
        <v>11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4">
        <v>11</v>
      </c>
      <c r="S13" s="3"/>
    </row>
    <row r="14" spans="1:17" ht="12.75">
      <c r="A14" s="34">
        <v>12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4">
        <v>12</v>
      </c>
    </row>
    <row r="15" spans="1:17" ht="12.75">
      <c r="A15" s="34">
        <v>13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4">
        <v>13</v>
      </c>
    </row>
    <row r="16" spans="1:19" ht="12.75">
      <c r="A16" s="34">
        <v>14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4">
        <v>14</v>
      </c>
      <c r="S16" s="3"/>
    </row>
    <row r="17" spans="1:17" ht="12.75">
      <c r="A17" s="34">
        <v>15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4">
        <v>15</v>
      </c>
    </row>
    <row r="18" spans="1:17" ht="12.75">
      <c r="A18" s="34">
        <v>16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4">
        <v>16</v>
      </c>
    </row>
    <row r="19" spans="1:17" ht="12.75">
      <c r="A19" s="34">
        <v>17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4">
        <v>17</v>
      </c>
    </row>
    <row r="20" spans="1:17" ht="12.75">
      <c r="A20" s="34">
        <v>18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4">
        <v>18</v>
      </c>
    </row>
    <row r="21" spans="1:19" ht="12.75">
      <c r="A21" s="34">
        <v>19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4">
        <v>19</v>
      </c>
      <c r="S21" s="3"/>
    </row>
    <row r="22" spans="1:19" ht="12.75">
      <c r="A22" s="34">
        <v>20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4">
        <v>20</v>
      </c>
      <c r="S22" s="3"/>
    </row>
    <row r="24" ht="13.5" thickBot="1"/>
    <row r="25" spans="1:19" ht="12.75">
      <c r="A25" s="36"/>
      <c r="B25" s="37" t="str">
        <f>VLOOKUP($A$30,$A$3:$P$22,2,FALSE)</f>
        <v>Antrieb 10</v>
      </c>
      <c r="C25" s="37">
        <f>VLOOKUP($A$30,$A$3:$P$22,3,FALSE)</f>
        <v>0</v>
      </c>
      <c r="D25" s="37">
        <f>VLOOKUP($A$30,$A$3:$P$22,4,FALSE)</f>
        <v>5</v>
      </c>
      <c r="E25" s="37">
        <f>VLOOKUP($A$30,$A$3:$P$22,5,FALSE)</f>
        <v>1</v>
      </c>
      <c r="F25" s="37">
        <f>VLOOKUP($A$30,$A$3:$P$22,6,FALSE)</f>
        <v>3000</v>
      </c>
      <c r="G25" s="37">
        <f>VLOOKUP($A$30,$A$3:$P$22,7,FALSE)</f>
        <v>100</v>
      </c>
      <c r="H25" s="37">
        <f>VLOOKUP($A$30,$A$3:$P$22,8,FALSE)</f>
        <v>0</v>
      </c>
      <c r="I25" s="37" t="str">
        <f>VLOOKUP($A$30,$A$3:$P$22,9,FALSE)</f>
        <v> SPA</v>
      </c>
      <c r="J25" s="37" t="str">
        <f>VLOOKUP($A$30,$A$3:$P$22,10,FALSE)</f>
        <v>0,123</v>
      </c>
      <c r="K25" s="37">
        <f>VLOOKUP($A$30,$A$3:$P$22,11,FALSE)</f>
        <v>0</v>
      </c>
      <c r="L25" s="37">
        <f>VLOOKUP($A$30,$A$3:$P$22,12,FALSE)</f>
        <v>1</v>
      </c>
      <c r="M25" s="37">
        <f>VLOOKUP($A$30,$A$3:$P$22,13,FALSE)</f>
        <v>0</v>
      </c>
      <c r="N25" s="37">
        <f>VLOOKUP($A$30,$A$3:$P$22,14,FALSE)</f>
        <v>0</v>
      </c>
      <c r="O25" s="37">
        <f>VLOOKUP($A$30,$A$3:$P$22,15,FALSE)</f>
        <v>0</v>
      </c>
      <c r="P25" s="37" t="str">
        <f>VLOOKUP($A$30,$A$3:$P$22,16,FALSE)</f>
        <v> Leistungsübertragung </v>
      </c>
      <c r="Q25" s="37"/>
      <c r="R25" s="37">
        <f>VLOOKUP($A$30,$A$3:$R$22,18,FALSE)</f>
        <v>23</v>
      </c>
      <c r="S25" s="38"/>
    </row>
    <row r="26" spans="1:19" ht="13.5" thickBot="1">
      <c r="A26" s="31"/>
      <c r="B26" s="28" t="e">
        <f>VLOOKUP($A$31,$B$3:$P$22,1,FALSE)</f>
        <v>#N/A</v>
      </c>
      <c r="C26" s="28" t="e">
        <f>VLOOKUP($A$31,$B$3:$P$22,2,FALSE)</f>
        <v>#N/A</v>
      </c>
      <c r="D26" s="28" t="e">
        <f>VLOOKUP($A$31,$B$3:$P$22,3,FALSE)</f>
        <v>#N/A</v>
      </c>
      <c r="E26" s="28" t="e">
        <f>VLOOKUP($A$31,$B$3:$P$22,4,FALSE)</f>
        <v>#N/A</v>
      </c>
      <c r="F26" s="28" t="e">
        <f>VLOOKUP($A$31,$B$3:$P$22,5,FALSE)</f>
        <v>#N/A</v>
      </c>
      <c r="G26" s="28" t="e">
        <f>VLOOKUP($A$31,$B$3:$P$22,6,FALSE)</f>
        <v>#N/A</v>
      </c>
      <c r="H26" s="28" t="e">
        <f>VLOOKUP($A$31,$B$3:$P$22,7,FALSE)</f>
        <v>#N/A</v>
      </c>
      <c r="I26" s="28" t="e">
        <f>VLOOKUP($A$31,$B$3:$P$22,8,FALSE)</f>
        <v>#N/A</v>
      </c>
      <c r="J26" s="28" t="e">
        <f>VLOOKUP($A$31,$B$3:$P$22,9,FALSE)</f>
        <v>#N/A</v>
      </c>
      <c r="K26" s="28" t="e">
        <f>VLOOKUP($A$31,$B$3:$P$22,10,FALSE)</f>
        <v>#N/A</v>
      </c>
      <c r="L26" s="28" t="e">
        <f>VLOOKUP($A$31,$B$3:$P$22,11,FALSE)</f>
        <v>#N/A</v>
      </c>
      <c r="M26" s="28" t="e">
        <f>VLOOKUP($A$31,$B$3:$P$22,12,FALSE)</f>
        <v>#N/A</v>
      </c>
      <c r="N26" s="28" t="e">
        <f>VLOOKUP($A$31,$B$3:$P$22,13,FALSE)</f>
        <v>#N/A</v>
      </c>
      <c r="O26" s="28" t="e">
        <f>VLOOKUP($A$31,$B$3:$P$22,14,FALSE)</f>
        <v>#N/A</v>
      </c>
      <c r="P26" s="28" t="e">
        <f>VLOOKUP($A$31,$B$3:$P$22,15,FALSE)</f>
        <v>#N/A</v>
      </c>
      <c r="Q26" s="28"/>
      <c r="R26" s="28" t="e">
        <f>VLOOKUP($A$31,$B$3:$R$22,16,FALSE)</f>
        <v>#N/A</v>
      </c>
      <c r="S26" s="29"/>
    </row>
    <row r="27" spans="1:19" ht="12.75">
      <c r="A27" s="39">
        <v>1</v>
      </c>
      <c r="B27" s="39">
        <v>2</v>
      </c>
      <c r="C27" s="39">
        <v>3</v>
      </c>
      <c r="D27" s="39">
        <v>4</v>
      </c>
      <c r="E27" s="39">
        <v>5</v>
      </c>
      <c r="F27" s="39">
        <v>6</v>
      </c>
      <c r="G27" s="39">
        <v>7</v>
      </c>
      <c r="H27" s="39">
        <v>8</v>
      </c>
      <c r="I27" s="39">
        <v>9</v>
      </c>
      <c r="J27" s="39">
        <v>10</v>
      </c>
      <c r="K27" s="39">
        <v>11</v>
      </c>
      <c r="L27" s="39">
        <v>12</v>
      </c>
      <c r="M27" s="39">
        <v>13</v>
      </c>
      <c r="N27" s="39">
        <v>14</v>
      </c>
      <c r="O27" s="39">
        <v>15</v>
      </c>
      <c r="P27" s="39">
        <v>16</v>
      </c>
      <c r="Q27" s="39">
        <v>17</v>
      </c>
      <c r="R27" s="39">
        <v>18</v>
      </c>
      <c r="S27" s="39">
        <v>19</v>
      </c>
    </row>
    <row r="29" spans="1:6" ht="12.75">
      <c r="A29" s="1" t="s">
        <v>214</v>
      </c>
      <c r="B29" s="1"/>
      <c r="C29" s="1" t="s">
        <v>215</v>
      </c>
      <c r="D29" s="1" t="s">
        <v>216</v>
      </c>
      <c r="F29" s="40"/>
    </row>
    <row r="30" spans="1:4" ht="12.75">
      <c r="A30">
        <v>1</v>
      </c>
      <c r="B30">
        <f>VLOOKUP($A$30,$A$3:$D$22,4,FALSE)</f>
        <v>5</v>
      </c>
      <c r="C30">
        <f>VLOOKUP($A$30,$A$3:$D$22,3,FALSE)</f>
        <v>0</v>
      </c>
      <c r="D30">
        <f>VLOOKUP($A$30,$A$3:$D$22,1,FALSE)</f>
        <v>1</v>
      </c>
    </row>
    <row r="31" spans="2:4" ht="12.75">
      <c r="B31" t="e">
        <f>VLOOKUP($A$31,$B$3:$D$22,3,FALSE)</f>
        <v>#N/A</v>
      </c>
      <c r="C31" t="e">
        <f>VLOOKUP($A$31,$B$3:$D$22,2,FALSE)</f>
        <v>#N/A</v>
      </c>
      <c r="D31" t="e">
        <f>VLOOKUP($A$31,$B$3:$Q$22,15,FALSE)</f>
        <v>#N/A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B4"/>
  <sheetViews>
    <sheetView zoomScalePageLayoutView="0" workbookViewId="0" topLeftCell="A1">
      <selection activeCell="C33" sqref="C33"/>
    </sheetView>
  </sheetViews>
  <sheetFormatPr defaultColWidth="11.421875" defaultRowHeight="12.75"/>
  <cols>
    <col min="1" max="2" width="15.28125" style="0" bestFit="1" customWidth="1"/>
  </cols>
  <sheetData>
    <row r="1" spans="1:2" ht="12.75">
      <c r="A1" s="1" t="s">
        <v>0</v>
      </c>
      <c r="B1">
        <v>0</v>
      </c>
    </row>
    <row r="2" spans="1:2" ht="12.75">
      <c r="A2" s="1" t="s">
        <v>1</v>
      </c>
      <c r="B2">
        <v>0</v>
      </c>
    </row>
    <row r="3" ht="12.75">
      <c r="B3" s="2"/>
    </row>
    <row r="4" ht="12.75">
      <c r="B4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D93"/>
  <sheetViews>
    <sheetView showRowColHeaders="0" zoomScalePageLayoutView="0" workbookViewId="0" topLeftCell="B4">
      <selection activeCell="C22" sqref="C22"/>
    </sheetView>
  </sheetViews>
  <sheetFormatPr defaultColWidth="11.421875" defaultRowHeight="12.75"/>
  <cols>
    <col min="1" max="1" width="23.28125" style="0" customWidth="1"/>
    <col min="2" max="2" width="65.57421875" style="0" customWidth="1"/>
    <col min="3" max="3" width="96.8515625" style="0" customWidth="1"/>
  </cols>
  <sheetData>
    <row r="1" spans="1:4" ht="12.75">
      <c r="A1" s="50" t="s">
        <v>2</v>
      </c>
      <c r="B1" s="52" t="s">
        <v>1</v>
      </c>
      <c r="C1" s="53"/>
      <c r="D1" s="54"/>
    </row>
    <row r="2" spans="1:4" ht="12.75">
      <c r="A2" s="51"/>
      <c r="B2" s="4" t="s">
        <v>3</v>
      </c>
      <c r="C2" s="4" t="s">
        <v>4</v>
      </c>
      <c r="D2" s="4"/>
    </row>
    <row r="3" spans="1:3" ht="12.75">
      <c r="A3" s="5" t="s">
        <v>5</v>
      </c>
      <c r="B3" s="6" t="s">
        <v>276</v>
      </c>
      <c r="C3" s="6" t="s">
        <v>277</v>
      </c>
    </row>
    <row r="4" spans="1:3" ht="12.75">
      <c r="A4" s="5" t="s">
        <v>6</v>
      </c>
      <c r="B4" s="6" t="s">
        <v>7</v>
      </c>
      <c r="C4" s="6" t="s">
        <v>278</v>
      </c>
    </row>
    <row r="5" spans="1:3" ht="12.75">
      <c r="A5" s="5" t="s">
        <v>8</v>
      </c>
      <c r="B5" s="6" t="s">
        <v>9</v>
      </c>
      <c r="C5" s="6" t="s">
        <v>9</v>
      </c>
    </row>
    <row r="6" spans="1:3" ht="12.75">
      <c r="A6" s="5" t="s">
        <v>10</v>
      </c>
      <c r="B6" s="6" t="s">
        <v>9</v>
      </c>
      <c r="C6" s="6" t="s">
        <v>9</v>
      </c>
    </row>
    <row r="7" spans="1:3" ht="12.75">
      <c r="A7" s="5" t="s">
        <v>11</v>
      </c>
      <c r="B7" s="6" t="s">
        <v>9</v>
      </c>
      <c r="C7" t="s">
        <v>9</v>
      </c>
    </row>
    <row r="8" spans="1:3" ht="12.75">
      <c r="A8" s="5" t="s">
        <v>12</v>
      </c>
      <c r="B8" s="6" t="s">
        <v>9</v>
      </c>
      <c r="C8" t="s">
        <v>9</v>
      </c>
    </row>
    <row r="9" spans="1:3" ht="12.75">
      <c r="A9" s="5" t="s">
        <v>13</v>
      </c>
      <c r="B9" s="6" t="s">
        <v>265</v>
      </c>
      <c r="C9" s="6" t="s">
        <v>225</v>
      </c>
    </row>
    <row r="10" spans="1:3" ht="12.75">
      <c r="A10" s="5" t="s">
        <v>14</v>
      </c>
      <c r="B10" s="6" t="s">
        <v>331</v>
      </c>
      <c r="C10" s="6" t="s">
        <v>332</v>
      </c>
    </row>
    <row r="11" spans="1:3" ht="12.75">
      <c r="A11" s="5" t="s">
        <v>15</v>
      </c>
      <c r="B11" s="6" t="s">
        <v>267</v>
      </c>
      <c r="C11" s="6" t="s">
        <v>275</v>
      </c>
    </row>
    <row r="12" spans="1:3" ht="12.75">
      <c r="A12" s="5" t="s">
        <v>16</v>
      </c>
      <c r="B12" s="6" t="s">
        <v>266</v>
      </c>
      <c r="C12" s="6" t="s">
        <v>226</v>
      </c>
    </row>
    <row r="13" spans="1:3" ht="12.75">
      <c r="A13" s="5" t="s">
        <v>17</v>
      </c>
      <c r="B13" s="6" t="s">
        <v>18</v>
      </c>
      <c r="C13" s="6" t="s">
        <v>268</v>
      </c>
    </row>
    <row r="14" spans="1:3" ht="12.75">
      <c r="A14" s="5" t="s">
        <v>19</v>
      </c>
      <c r="B14" s="6" t="s">
        <v>20</v>
      </c>
      <c r="C14" s="6" t="s">
        <v>227</v>
      </c>
    </row>
    <row r="15" spans="1:3" ht="12.75">
      <c r="A15" s="5" t="s">
        <v>21</v>
      </c>
      <c r="B15" s="6" t="s">
        <v>22</v>
      </c>
      <c r="C15" s="6" t="s">
        <v>228</v>
      </c>
    </row>
    <row r="16" spans="1:3" ht="12.75">
      <c r="A16" s="5" t="s">
        <v>23</v>
      </c>
      <c r="B16" s="6" t="s">
        <v>350</v>
      </c>
      <c r="C16" s="6" t="s">
        <v>351</v>
      </c>
    </row>
    <row r="17" spans="1:3" ht="12.75">
      <c r="A17" s="5" t="s">
        <v>24</v>
      </c>
      <c r="B17" s="6" t="s">
        <v>25</v>
      </c>
      <c r="C17" s="6" t="s">
        <v>229</v>
      </c>
    </row>
    <row r="18" spans="1:3" ht="12.75">
      <c r="A18" s="5" t="s">
        <v>26</v>
      </c>
      <c r="B18" s="6" t="s">
        <v>346</v>
      </c>
      <c r="C18" s="6" t="s">
        <v>346</v>
      </c>
    </row>
    <row r="19" spans="1:3" ht="12.75">
      <c r="A19" s="5" t="s">
        <v>27</v>
      </c>
      <c r="B19" s="6" t="s">
        <v>28</v>
      </c>
      <c r="C19" s="6" t="s">
        <v>308</v>
      </c>
    </row>
    <row r="20" spans="1:3" ht="12.75">
      <c r="A20" s="5" t="s">
        <v>29</v>
      </c>
      <c r="B20" s="6" t="s">
        <v>30</v>
      </c>
      <c r="C20" s="6" t="s">
        <v>230</v>
      </c>
    </row>
    <row r="21" spans="1:3" ht="12.75">
      <c r="A21" s="5" t="s">
        <v>31</v>
      </c>
      <c r="B21" s="6" t="s">
        <v>32</v>
      </c>
      <c r="C21" s="6" t="s">
        <v>231</v>
      </c>
    </row>
    <row r="22" spans="1:3" ht="12.75">
      <c r="A22" s="5" t="s">
        <v>33</v>
      </c>
      <c r="B22" s="6" t="s">
        <v>34</v>
      </c>
      <c r="C22" s="6" t="s">
        <v>232</v>
      </c>
    </row>
    <row r="23" spans="1:3" ht="12.75">
      <c r="A23" s="5" t="s">
        <v>35</v>
      </c>
      <c r="B23" s="6" t="s">
        <v>36</v>
      </c>
      <c r="C23" s="6" t="s">
        <v>36</v>
      </c>
    </row>
    <row r="24" spans="1:3" ht="12.75">
      <c r="A24" s="5" t="s">
        <v>37</v>
      </c>
      <c r="B24" s="6" t="s">
        <v>345</v>
      </c>
      <c r="C24" s="6" t="s">
        <v>345</v>
      </c>
    </row>
    <row r="25" spans="1:3" ht="12.75">
      <c r="A25" s="5" t="s">
        <v>38</v>
      </c>
      <c r="B25" s="6" t="s">
        <v>347</v>
      </c>
      <c r="C25" s="6" t="s">
        <v>347</v>
      </c>
    </row>
    <row r="26" spans="1:3" ht="12.75">
      <c r="A26" s="5" t="s">
        <v>39</v>
      </c>
      <c r="B26" s="6" t="s">
        <v>270</v>
      </c>
      <c r="C26" s="6" t="s">
        <v>271</v>
      </c>
    </row>
    <row r="27" spans="1:3" ht="12.75">
      <c r="A27" s="5" t="s">
        <v>40</v>
      </c>
      <c r="B27" t="s">
        <v>41</v>
      </c>
      <c r="C27" t="s">
        <v>233</v>
      </c>
    </row>
    <row r="28" spans="1:3" ht="12.75">
      <c r="A28" s="5" t="s">
        <v>42</v>
      </c>
      <c r="B28" t="s">
        <v>43</v>
      </c>
      <c r="C28" t="s">
        <v>234</v>
      </c>
    </row>
    <row r="29" spans="1:3" ht="12.75">
      <c r="A29" s="5" t="s">
        <v>44</v>
      </c>
      <c r="B29" t="s">
        <v>45</v>
      </c>
      <c r="C29" t="s">
        <v>235</v>
      </c>
    </row>
    <row r="30" spans="1:3" ht="12.75">
      <c r="A30" s="5" t="s">
        <v>46</v>
      </c>
      <c r="B30" t="s">
        <v>47</v>
      </c>
      <c r="C30" t="s">
        <v>47</v>
      </c>
    </row>
    <row r="31" spans="1:3" ht="12.75">
      <c r="A31" s="5" t="s">
        <v>48</v>
      </c>
      <c r="B31" t="s">
        <v>49</v>
      </c>
      <c r="C31" t="s">
        <v>236</v>
      </c>
    </row>
    <row r="32" spans="1:3" ht="12.75">
      <c r="A32" s="5" t="s">
        <v>50</v>
      </c>
      <c r="B32" t="s">
        <v>51</v>
      </c>
      <c r="C32" t="s">
        <v>237</v>
      </c>
    </row>
    <row r="33" spans="1:3" ht="12.75">
      <c r="A33" s="5" t="s">
        <v>52</v>
      </c>
      <c r="B33" t="s">
        <v>53</v>
      </c>
      <c r="C33" t="s">
        <v>53</v>
      </c>
    </row>
    <row r="34" spans="1:3" ht="12.75">
      <c r="A34" s="5" t="s">
        <v>54</v>
      </c>
      <c r="B34" t="s">
        <v>55</v>
      </c>
      <c r="C34" t="s">
        <v>55</v>
      </c>
    </row>
    <row r="35" spans="1:3" ht="12.75">
      <c r="A35" s="5" t="s">
        <v>56</v>
      </c>
      <c r="B35" t="s">
        <v>57</v>
      </c>
      <c r="C35" t="s">
        <v>238</v>
      </c>
    </row>
    <row r="36" spans="1:3" ht="12.75">
      <c r="A36" s="5" t="s">
        <v>58</v>
      </c>
      <c r="B36" t="s">
        <v>59</v>
      </c>
      <c r="C36" t="s">
        <v>59</v>
      </c>
    </row>
    <row r="37" spans="1:3" ht="12.75">
      <c r="A37" s="5" t="s">
        <v>60</v>
      </c>
      <c r="B37" t="s">
        <v>61</v>
      </c>
      <c r="C37" t="s">
        <v>61</v>
      </c>
    </row>
    <row r="38" spans="1:3" ht="12.75">
      <c r="A38" s="7" t="s">
        <v>62</v>
      </c>
      <c r="B38" t="s">
        <v>63</v>
      </c>
      <c r="C38" t="s">
        <v>239</v>
      </c>
    </row>
    <row r="39" spans="1:3" ht="12.75">
      <c r="A39" s="7" t="s">
        <v>64</v>
      </c>
      <c r="B39" t="s">
        <v>65</v>
      </c>
      <c r="C39" t="s">
        <v>65</v>
      </c>
    </row>
    <row r="40" spans="1:3" ht="12.75">
      <c r="A40" s="7" t="s">
        <v>66</v>
      </c>
      <c r="B40" t="s">
        <v>67</v>
      </c>
      <c r="C40" t="s">
        <v>67</v>
      </c>
    </row>
    <row r="41" spans="1:3" ht="12.75">
      <c r="A41" s="7" t="s">
        <v>68</v>
      </c>
      <c r="B41" t="s">
        <v>69</v>
      </c>
      <c r="C41" t="s">
        <v>269</v>
      </c>
    </row>
    <row r="42" spans="1:3" ht="12.75">
      <c r="A42" s="7" t="s">
        <v>70</v>
      </c>
      <c r="B42" t="s">
        <v>71</v>
      </c>
      <c r="C42" t="s">
        <v>240</v>
      </c>
    </row>
    <row r="43" spans="1:3" ht="12.75">
      <c r="A43" s="7" t="s">
        <v>72</v>
      </c>
      <c r="B43" t="s">
        <v>73</v>
      </c>
      <c r="C43" t="s">
        <v>241</v>
      </c>
    </row>
    <row r="44" spans="1:3" ht="12.75">
      <c r="A44" s="7" t="s">
        <v>74</v>
      </c>
      <c r="B44" t="s">
        <v>75</v>
      </c>
      <c r="C44" t="s">
        <v>242</v>
      </c>
    </row>
    <row r="45" spans="1:3" ht="12.75">
      <c r="A45" s="7" t="s">
        <v>76</v>
      </c>
      <c r="B45" t="s">
        <v>77</v>
      </c>
      <c r="C45" t="s">
        <v>77</v>
      </c>
    </row>
    <row r="46" spans="1:3" ht="12.75">
      <c r="A46" s="7" t="s">
        <v>78</v>
      </c>
      <c r="B46" t="s">
        <v>79</v>
      </c>
      <c r="C46" t="s">
        <v>79</v>
      </c>
    </row>
    <row r="47" spans="1:3" ht="12.75">
      <c r="A47" s="7" t="s">
        <v>80</v>
      </c>
      <c r="B47" t="s">
        <v>81</v>
      </c>
      <c r="C47" t="s">
        <v>243</v>
      </c>
    </row>
    <row r="48" spans="1:3" ht="12.75">
      <c r="A48" s="7" t="s">
        <v>82</v>
      </c>
      <c r="B48" t="s">
        <v>47</v>
      </c>
      <c r="C48" t="s">
        <v>47</v>
      </c>
    </row>
    <row r="49" spans="1:3" ht="12.75">
      <c r="A49" s="7" t="s">
        <v>83</v>
      </c>
      <c r="B49" t="s">
        <v>84</v>
      </c>
      <c r="C49" t="s">
        <v>244</v>
      </c>
    </row>
    <row r="50" spans="1:3" ht="12.75">
      <c r="A50" s="7" t="s">
        <v>85</v>
      </c>
      <c r="B50" t="s">
        <v>86</v>
      </c>
      <c r="C50" t="s">
        <v>245</v>
      </c>
    </row>
    <row r="51" spans="1:3" ht="12.75">
      <c r="A51" s="7" t="s">
        <v>87</v>
      </c>
      <c r="B51" t="s">
        <v>88</v>
      </c>
      <c r="C51" t="s">
        <v>88</v>
      </c>
    </row>
    <row r="52" spans="1:3" ht="12.75">
      <c r="A52" s="7" t="s">
        <v>89</v>
      </c>
      <c r="B52" t="s">
        <v>90</v>
      </c>
      <c r="C52" t="s">
        <v>246</v>
      </c>
    </row>
    <row r="53" spans="1:3" ht="12.75">
      <c r="A53" s="7" t="s">
        <v>91</v>
      </c>
      <c r="B53" t="s">
        <v>92</v>
      </c>
      <c r="C53" t="s">
        <v>92</v>
      </c>
    </row>
    <row r="54" spans="1:3" ht="12.75">
      <c r="A54" s="7" t="s">
        <v>93</v>
      </c>
      <c r="B54" t="s">
        <v>79</v>
      </c>
      <c r="C54" t="s">
        <v>79</v>
      </c>
    </row>
    <row r="55" spans="1:3" ht="12.75">
      <c r="A55" s="7" t="s">
        <v>94</v>
      </c>
      <c r="B55" t="s">
        <v>95</v>
      </c>
      <c r="C55" t="s">
        <v>247</v>
      </c>
    </row>
    <row r="56" spans="1:3" ht="12.75">
      <c r="A56" s="7" t="s">
        <v>96</v>
      </c>
      <c r="B56" t="s">
        <v>47</v>
      </c>
      <c r="C56" t="s">
        <v>47</v>
      </c>
    </row>
    <row r="57" spans="1:3" ht="12.75">
      <c r="A57" s="7" t="s">
        <v>97</v>
      </c>
      <c r="B57" t="s">
        <v>98</v>
      </c>
      <c r="C57" t="s">
        <v>224</v>
      </c>
    </row>
    <row r="58" spans="1:3" ht="12.75">
      <c r="A58" s="7" t="s">
        <v>99</v>
      </c>
      <c r="B58" t="s">
        <v>100</v>
      </c>
      <c r="C58" t="s">
        <v>248</v>
      </c>
    </row>
    <row r="59" spans="1:3" ht="12.75">
      <c r="A59" s="7" t="s">
        <v>101</v>
      </c>
      <c r="B59" s="6" t="s">
        <v>317</v>
      </c>
      <c r="C59" s="6" t="s">
        <v>249</v>
      </c>
    </row>
    <row r="60" spans="1:3" ht="12.75">
      <c r="A60" s="7" t="s">
        <v>102</v>
      </c>
      <c r="B60" s="46" t="s">
        <v>321</v>
      </c>
      <c r="C60" s="6" t="s">
        <v>319</v>
      </c>
    </row>
    <row r="61" spans="1:3" ht="12.75">
      <c r="A61" s="7" t="s">
        <v>103</v>
      </c>
      <c r="B61" s="47" t="s">
        <v>320</v>
      </c>
      <c r="C61" s="6" t="s">
        <v>318</v>
      </c>
    </row>
    <row r="62" spans="1:3" ht="12.75">
      <c r="A62" s="7" t="s">
        <v>104</v>
      </c>
      <c r="B62" s="47" t="s">
        <v>349</v>
      </c>
      <c r="C62" s="6" t="s">
        <v>322</v>
      </c>
    </row>
    <row r="63" spans="1:3" ht="12.75">
      <c r="A63" s="7" t="s">
        <v>105</v>
      </c>
      <c r="B63" s="47" t="s">
        <v>323</v>
      </c>
      <c r="C63" s="6" t="s">
        <v>348</v>
      </c>
    </row>
    <row r="64" spans="1:3" ht="12.75">
      <c r="A64" s="7" t="s">
        <v>106</v>
      </c>
      <c r="B64" t="s">
        <v>344</v>
      </c>
      <c r="C64" t="s">
        <v>344</v>
      </c>
    </row>
    <row r="65" spans="1:2" ht="12.75">
      <c r="A65" s="7" t="s">
        <v>107</v>
      </c>
      <c r="B65" s="8" t="s">
        <v>108</v>
      </c>
    </row>
    <row r="66" spans="1:3" ht="12.75">
      <c r="A66" s="7" t="s">
        <v>109</v>
      </c>
      <c r="B66" s="6" t="s">
        <v>110</v>
      </c>
      <c r="C66" s="6" t="s">
        <v>309</v>
      </c>
    </row>
    <row r="67" spans="1:3" ht="12.75">
      <c r="A67" s="7" t="s">
        <v>111</v>
      </c>
      <c r="B67" s="6" t="s">
        <v>30</v>
      </c>
      <c r="C67" s="6" t="s">
        <v>112</v>
      </c>
    </row>
    <row r="68" spans="1:3" ht="12.75">
      <c r="A68" s="7" t="s">
        <v>113</v>
      </c>
      <c r="B68" s="6" t="s">
        <v>114</v>
      </c>
      <c r="C68" s="6" t="s">
        <v>114</v>
      </c>
    </row>
    <row r="69" spans="1:3" ht="12.75">
      <c r="A69" s="7" t="s">
        <v>115</v>
      </c>
      <c r="B69" s="6"/>
      <c r="C69" s="6"/>
    </row>
    <row r="70" spans="1:3" ht="12.75">
      <c r="A70" s="7" t="s">
        <v>116</v>
      </c>
      <c r="B70" t="s">
        <v>98</v>
      </c>
      <c r="C70" t="s">
        <v>250</v>
      </c>
    </row>
    <row r="71" spans="1:3" ht="12.75">
      <c r="A71" s="7" t="s">
        <v>117</v>
      </c>
      <c r="B71" t="s">
        <v>118</v>
      </c>
      <c r="C71" t="s">
        <v>251</v>
      </c>
    </row>
    <row r="72" spans="1:3" ht="12.75">
      <c r="A72" s="7" t="s">
        <v>119</v>
      </c>
      <c r="B72" t="s">
        <v>120</v>
      </c>
      <c r="C72" t="s">
        <v>252</v>
      </c>
    </row>
    <row r="73" spans="1:3" ht="12.75">
      <c r="A73" s="7" t="s">
        <v>121</v>
      </c>
      <c r="B73" t="s">
        <v>172</v>
      </c>
      <c r="C73" t="s">
        <v>253</v>
      </c>
    </row>
    <row r="74" spans="1:3" ht="12.75">
      <c r="A74" s="7" t="s">
        <v>122</v>
      </c>
      <c r="B74" t="s">
        <v>324</v>
      </c>
      <c r="C74" t="s">
        <v>325</v>
      </c>
    </row>
    <row r="75" spans="1:3" ht="12.75">
      <c r="A75" s="7" t="s">
        <v>123</v>
      </c>
      <c r="B75" t="s">
        <v>327</v>
      </c>
      <c r="C75" t="s">
        <v>326</v>
      </c>
    </row>
    <row r="76" spans="1:3" ht="12.75">
      <c r="A76" s="7" t="s">
        <v>124</v>
      </c>
      <c r="B76" t="s">
        <v>125</v>
      </c>
      <c r="C76" t="s">
        <v>254</v>
      </c>
    </row>
    <row r="77" spans="1:3" ht="12.75">
      <c r="A77" s="7" t="s">
        <v>126</v>
      </c>
      <c r="B77" t="s">
        <v>127</v>
      </c>
      <c r="C77" t="s">
        <v>255</v>
      </c>
    </row>
    <row r="78" spans="1:3" ht="12.75">
      <c r="A78" s="7" t="s">
        <v>128</v>
      </c>
      <c r="B78" t="s">
        <v>129</v>
      </c>
      <c r="C78" t="s">
        <v>256</v>
      </c>
    </row>
    <row r="79" spans="1:3" ht="12.75">
      <c r="A79" s="7" t="s">
        <v>130</v>
      </c>
      <c r="B79" t="s">
        <v>131</v>
      </c>
      <c r="C79" t="s">
        <v>257</v>
      </c>
    </row>
    <row r="80" spans="1:3" ht="12.75">
      <c r="A80" s="7" t="s">
        <v>132</v>
      </c>
      <c r="B80" t="s">
        <v>133</v>
      </c>
      <c r="C80" t="s">
        <v>258</v>
      </c>
    </row>
    <row r="81" spans="1:3" ht="12.75">
      <c r="A81" s="7" t="s">
        <v>134</v>
      </c>
      <c r="B81" t="s">
        <v>135</v>
      </c>
      <c r="C81" t="s">
        <v>259</v>
      </c>
    </row>
    <row r="82" spans="1:3" ht="12.75">
      <c r="A82" s="7" t="s">
        <v>136</v>
      </c>
      <c r="B82" t="s">
        <v>137</v>
      </c>
      <c r="C82" t="s">
        <v>260</v>
      </c>
    </row>
    <row r="83" spans="1:3" ht="12.75">
      <c r="A83" s="7" t="s">
        <v>138</v>
      </c>
      <c r="B83" t="s">
        <v>217</v>
      </c>
      <c r="C83" t="s">
        <v>261</v>
      </c>
    </row>
    <row r="84" spans="1:3" ht="12.75">
      <c r="A84" s="7" t="s">
        <v>139</v>
      </c>
      <c r="B84" t="s">
        <v>140</v>
      </c>
      <c r="C84" t="s">
        <v>262</v>
      </c>
    </row>
    <row r="86" spans="1:3" ht="12.75">
      <c r="A86" s="7" t="s">
        <v>328</v>
      </c>
      <c r="B86" t="s">
        <v>336</v>
      </c>
      <c r="C86" t="s">
        <v>341</v>
      </c>
    </row>
    <row r="87" spans="1:3" ht="12.75">
      <c r="A87" s="7" t="s">
        <v>329</v>
      </c>
      <c r="B87" t="s">
        <v>339</v>
      </c>
      <c r="C87" t="s">
        <v>339</v>
      </c>
    </row>
    <row r="88" spans="1:3" ht="12.75">
      <c r="A88" s="7" t="s">
        <v>330</v>
      </c>
      <c r="B88" t="s">
        <v>67</v>
      </c>
      <c r="C88" t="s">
        <v>67</v>
      </c>
    </row>
    <row r="90" spans="1:3" ht="12.75">
      <c r="A90" s="7" t="s">
        <v>141</v>
      </c>
      <c r="B90" t="s">
        <v>142</v>
      </c>
      <c r="C90" t="s">
        <v>263</v>
      </c>
    </row>
    <row r="91" spans="1:3" ht="12.75">
      <c r="A91" s="7" t="s">
        <v>143</v>
      </c>
      <c r="B91" t="s">
        <v>144</v>
      </c>
      <c r="C91" t="s">
        <v>264</v>
      </c>
    </row>
    <row r="93" spans="1:3" ht="12.75">
      <c r="A93" s="7" t="s">
        <v>340</v>
      </c>
      <c r="B93" s="46" t="s">
        <v>342</v>
      </c>
      <c r="C93" s="46" t="s">
        <v>343</v>
      </c>
    </row>
  </sheetData>
  <sheetProtection/>
  <mergeCells count="2">
    <mergeCell ref="A1:A2"/>
    <mergeCell ref="B1:D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Th.Otto</dc:creator>
  <cp:keywords/>
  <dc:description/>
  <cp:lastModifiedBy>Seitz, Aron</cp:lastModifiedBy>
  <cp:lastPrinted>2005-06-15T10:26:13Z</cp:lastPrinted>
  <dcterms:created xsi:type="dcterms:W3CDTF">2005-06-08T09:50:08Z</dcterms:created>
  <dcterms:modified xsi:type="dcterms:W3CDTF">2023-05-15T09:43:55Z</dcterms:modified>
  <cp:category/>
  <cp:version/>
  <cp:contentType/>
  <cp:contentStatus/>
</cp:coreProperties>
</file>